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25" windowWidth="15360" windowHeight="8715" activeTab="0"/>
  </bookViews>
  <sheets>
    <sheet name="sweetcorn" sheetId="1" r:id="rId1"/>
    <sheet name="Machinery Costs" sheetId="2" r:id="rId2"/>
  </sheets>
  <definedNames>
    <definedName name="_xlnm.Print_Area" localSheetId="0">'sweetcorn'!$A$1:$N$125</definedName>
  </definedNames>
  <calcPr fullCalcOnLoad="1"/>
</workbook>
</file>

<file path=xl/sharedStrings.xml><?xml version="1.0" encoding="utf-8"?>
<sst xmlns="http://schemas.openxmlformats.org/spreadsheetml/2006/main" count="203" uniqueCount="177">
  <si>
    <t>ITEM</t>
  </si>
  <si>
    <t>EXPLANATION</t>
  </si>
  <si>
    <t>YOUR</t>
  </si>
  <si>
    <t>BUDGET</t>
  </si>
  <si>
    <t>VARIABLE  COSTS</t>
  </si>
  <si>
    <t>/ton</t>
  </si>
  <si>
    <t>Repairs</t>
  </si>
  <si>
    <t xml:space="preserve">mo. </t>
  </si>
  <si>
    <t>TOTAL VARIABLE COSTS</t>
  </si>
  <si>
    <t>-Per Acre</t>
  </si>
  <si>
    <t>FIXED COSTS</t>
  </si>
  <si>
    <t>hours</t>
  </si>
  <si>
    <t>Rent</t>
  </si>
  <si>
    <t>TOTAL FIXED COSTS</t>
  </si>
  <si>
    <t>TOTAL COSTS</t>
  </si>
  <si>
    <t>RETURN ABOVE VARIABLE COSTS</t>
  </si>
  <si>
    <t>RETURN ABOVE TOTAL COSTS</t>
  </si>
  <si>
    <t>/lb.</t>
  </si>
  <si>
    <t>UNIT</t>
  </si>
  <si>
    <t>PRICE PER</t>
  </si>
  <si>
    <t>N (lb.)</t>
  </si>
  <si>
    <t>P2O5(lb.)</t>
  </si>
  <si>
    <t>K2O(lb.)</t>
  </si>
  <si>
    <t>/hr.</t>
  </si>
  <si>
    <r>
      <t xml:space="preserve">RECEIPTS </t>
    </r>
    <r>
      <rPr>
        <b/>
        <vertAlign val="superscript"/>
        <sz val="10"/>
        <color indexed="12"/>
        <rFont val="Arial"/>
        <family val="2"/>
      </rPr>
      <t>1</t>
    </r>
  </si>
  <si>
    <t>of gross revenue</t>
  </si>
  <si>
    <t>Sweet Corn</t>
  </si>
  <si>
    <t>Your</t>
  </si>
  <si>
    <t>Prod</t>
  </si>
  <si>
    <t>Numbers</t>
  </si>
  <si>
    <t>Lime(ton)</t>
  </si>
  <si>
    <t>/10000</t>
  </si>
  <si>
    <t>/lb</t>
  </si>
  <si>
    <r>
      <t>Seed</t>
    </r>
    <r>
      <rPr>
        <sz val="8"/>
        <rFont val="Arial"/>
        <family val="2"/>
      </rPr>
      <t xml:space="preserve"> </t>
    </r>
    <r>
      <rPr>
        <b/>
        <vertAlign val="superscript"/>
        <sz val="10"/>
        <color indexed="12"/>
        <rFont val="Arial"/>
        <family val="2"/>
      </rPr>
      <t>2</t>
    </r>
  </si>
  <si>
    <t>Seed prices estimated from 2008 Rupp &amp; Seiger Seed Company cataloges</t>
  </si>
  <si>
    <r>
      <t xml:space="preserve">Fertilizer </t>
    </r>
    <r>
      <rPr>
        <b/>
        <vertAlign val="superscript"/>
        <sz val="10"/>
        <color indexed="12"/>
        <rFont val="Arial"/>
        <family val="2"/>
      </rPr>
      <t>3</t>
    </r>
  </si>
  <si>
    <t xml:space="preserve">Fertilizer rates provided by Robert Precheur (Ext. Spec) based on recent yield studies </t>
  </si>
  <si>
    <t>Seeding rates based on 30-36" rows with 8-12" in-row (2008 Ohio Vegetable Production Guide pg 247)</t>
  </si>
  <si>
    <t>lb/acre</t>
  </si>
  <si>
    <t>Per Pound/Acre</t>
  </si>
  <si>
    <t>Pre-Emerg</t>
  </si>
  <si>
    <t>Post-Emerg</t>
  </si>
  <si>
    <t>Seeding Rates</t>
  </si>
  <si>
    <t>Application Rates</t>
  </si>
  <si>
    <t>Machinery Inventory</t>
  </si>
  <si>
    <t>Number times used</t>
  </si>
  <si>
    <t>Machinery Cost</t>
  </si>
  <si>
    <t>Acres per Year</t>
  </si>
  <si>
    <t>Cost per Acre</t>
  </si>
  <si>
    <t>Acres/ Hr</t>
  </si>
  <si>
    <t>Fuel*        (gal/A)</t>
  </si>
  <si>
    <t>Repairs ($/A)</t>
  </si>
  <si>
    <t>15 ft. Chisel Plow</t>
  </si>
  <si>
    <t>23 ft. Field Cultivator</t>
  </si>
  <si>
    <t>50 ft. Boom Sprayer</t>
  </si>
  <si>
    <t>8 Row Planter</t>
  </si>
  <si>
    <t>-----</t>
  </si>
  <si>
    <t>Fertilizer Spreader</t>
  </si>
  <si>
    <t>200 HP Tractor</t>
  </si>
  <si>
    <t>75 HP Tractor</t>
  </si>
  <si>
    <t>Pickup Truck (1/2)**</t>
  </si>
  <si>
    <t>Fuel</t>
  </si>
  <si>
    <t>Machinery and Equipment Charge per Acre</t>
  </si>
  <si>
    <t>F&amp;L</t>
  </si>
  <si>
    <t>Price of Diesel Fuel =</t>
  </si>
  <si>
    <t>Machinery cost estimates, fuel estimates and cost calculations based on information from the "Farm Machinery Cost Estimates</t>
  </si>
  <si>
    <t>For 2007". See the reference online at:</t>
  </si>
  <si>
    <t>http://www.apec.umn.edu/faculty/wlazarus/documents/mf2007.pdf</t>
  </si>
  <si>
    <t xml:space="preserve">Machinery and Equipment charge = </t>
  </si>
  <si>
    <t>Cost per Acre = Machinery Cost (New Cost) Assumes 8 Year Useful Life using Straight Line Depreciation,</t>
  </si>
  <si>
    <t xml:space="preserve"> 6.0% Interest on Average Value, 0.5% Insurance Cost on Average Value and 1.0% Housing Cost on Average Value.</t>
  </si>
  <si>
    <t>Salvage Values are based on ASAE formulas.</t>
  </si>
  <si>
    <t>*Fuel calculations are based on the implement plus tractor.</t>
  </si>
  <si>
    <t>**Semi Tractor Trailer and Pickup Truck are assumed to be used equipment.</t>
  </si>
  <si>
    <t>***Fuel for Semi is included in Budget as Trucking - Fuel Only</t>
  </si>
  <si>
    <r>
      <t xml:space="preserve">Fungicides </t>
    </r>
    <r>
      <rPr>
        <b/>
        <vertAlign val="superscript"/>
        <sz val="10"/>
        <color indexed="12"/>
        <rFont val="Arial"/>
        <family val="2"/>
      </rPr>
      <t>6</t>
    </r>
  </si>
  <si>
    <t>qu/A</t>
  </si>
  <si>
    <t>oz/A</t>
  </si>
  <si>
    <t>Prices based on 2008 Dow Agroscience Prices</t>
  </si>
  <si>
    <t>Pre-Emergence assumes use of Bicep II Magnum  (s-metolachlor + atrazine + atrazine products (26.1%+32%+1.7%)</t>
  </si>
  <si>
    <t>Post-Emergence assumes the use of Impact 2.8L (topramezone)</t>
  </si>
  <si>
    <t>lb/A</t>
  </si>
  <si>
    <t>At Planting</t>
  </si>
  <si>
    <t>During Silking</t>
  </si>
  <si>
    <t>At Planting assumes use of Counter 15G (Terbufos) for seedcorn maggot, seedcorn beetle, rootworms, garden symphylans, flee beatle.</t>
  </si>
  <si>
    <t>See 2008 Ohio Vegetable Production Guide pp 250-257</t>
  </si>
  <si>
    <t>See 2008 Ohio Vegetable Production Guide pp 258-260</t>
  </si>
  <si>
    <t>Fertilizer prices vary over time and by area.  Check with local sources for current prices.</t>
  </si>
  <si>
    <t>Assumes UAN(28-0-0):</t>
  </si>
  <si>
    <t>/ton     MAP(11-52-0):</t>
  </si>
  <si>
    <t>/ton     Potash(0-0-60):</t>
  </si>
  <si>
    <t xml:space="preserve">Machines are all assumed to be new and in the first year of use (Except for  Pickup Truck). </t>
  </si>
  <si>
    <t xml:space="preserve">Values highlighted in gold may be changed to assist in computing "Your Budget" Column using macros embeded within  </t>
  </si>
  <si>
    <t>Values highlighted in light blue are cells embedded with macros and will be calculted for the user based on data entered.</t>
  </si>
  <si>
    <t>Values highlighted in gray are stand alone cells that require direct input from the user.</t>
  </si>
  <si>
    <t>the spreadsheet.</t>
  </si>
  <si>
    <t>These cells may be input manually, but macros will be overwritten!</t>
  </si>
  <si>
    <t>Also consult 2008 Ohio Vegetable Production Guide</t>
  </si>
  <si>
    <t>Assumes only maintenance application of fertilizer needed</t>
  </si>
  <si>
    <t>See 2008 Ohio Vegetable Production Guide pp. 249 for application rates and other possible fungicides</t>
  </si>
  <si>
    <t>Fungicides assumes usage of Tilt for Rust</t>
  </si>
  <si>
    <r>
      <t xml:space="preserve">Fuel, Oil, Grease </t>
    </r>
    <r>
      <rPr>
        <b/>
        <vertAlign val="superscript"/>
        <sz val="10"/>
        <color indexed="12"/>
        <rFont val="Arial"/>
        <family val="2"/>
      </rPr>
      <t>7</t>
    </r>
  </si>
  <si>
    <t>See table below for specific calculations.  Lubrications costs are assumed to be 10% of fuel costs</t>
  </si>
  <si>
    <r>
      <t xml:space="preserve">Repairs </t>
    </r>
    <r>
      <rPr>
        <b/>
        <vertAlign val="superscript"/>
        <sz val="10"/>
        <color indexed="12"/>
        <rFont val="Arial"/>
        <family val="2"/>
      </rPr>
      <t>8</t>
    </r>
  </si>
  <si>
    <t>See table below for specific calculations.</t>
  </si>
  <si>
    <r>
      <t xml:space="preserve">Hired Labor </t>
    </r>
    <r>
      <rPr>
        <b/>
        <vertAlign val="superscript"/>
        <sz val="10"/>
        <color indexed="12"/>
        <rFont val="Arial"/>
        <family val="2"/>
      </rPr>
      <t>9</t>
    </r>
  </si>
  <si>
    <r>
      <t xml:space="preserve">Insecticides </t>
    </r>
    <r>
      <rPr>
        <b/>
        <vertAlign val="superscript"/>
        <sz val="10"/>
        <color indexed="12"/>
        <rFont val="Arial"/>
        <family val="2"/>
      </rPr>
      <t>5</t>
    </r>
  </si>
  <si>
    <r>
      <t xml:space="preserve">Herbicides </t>
    </r>
    <r>
      <rPr>
        <b/>
        <vertAlign val="superscript"/>
        <sz val="10"/>
        <color indexed="12"/>
        <rFont val="Arial"/>
        <family val="2"/>
      </rPr>
      <t>4</t>
    </r>
  </si>
  <si>
    <r>
      <t xml:space="preserve">Miscellaneous </t>
    </r>
    <r>
      <rPr>
        <b/>
        <vertAlign val="superscript"/>
        <sz val="10"/>
        <color indexed="12"/>
        <rFont val="Arial"/>
        <family val="2"/>
      </rPr>
      <t>10</t>
    </r>
  </si>
  <si>
    <t>Includes supplies, utilities, soil tests, small tools, software/hardware, transport of supplies and equipment, etc…</t>
  </si>
  <si>
    <r>
      <t xml:space="preserve">Int. on Oper. Cap. </t>
    </r>
    <r>
      <rPr>
        <b/>
        <vertAlign val="superscript"/>
        <sz val="10"/>
        <color indexed="12"/>
        <rFont val="Arial"/>
        <family val="2"/>
      </rPr>
      <t>11</t>
    </r>
  </si>
  <si>
    <r>
      <t xml:space="preserve">Operator Labor Charge </t>
    </r>
    <r>
      <rPr>
        <b/>
        <vertAlign val="superscript"/>
        <sz val="10"/>
        <color indexed="12"/>
        <rFont val="Arial"/>
        <family val="2"/>
      </rPr>
      <t>12</t>
    </r>
  </si>
  <si>
    <t xml:space="preserve">Labor rate includes cash wages plus benefits. </t>
  </si>
  <si>
    <r>
      <t xml:space="preserve">Mach. And Equip. Charge </t>
    </r>
    <r>
      <rPr>
        <b/>
        <vertAlign val="superscript"/>
        <sz val="10"/>
        <color indexed="12"/>
        <rFont val="Arial"/>
        <family val="2"/>
      </rPr>
      <t>13</t>
    </r>
  </si>
  <si>
    <r>
      <t xml:space="preserve">Land Charge </t>
    </r>
    <r>
      <rPr>
        <b/>
        <vertAlign val="superscript"/>
        <sz val="10"/>
        <color indexed="12"/>
        <rFont val="Arial"/>
        <family val="2"/>
      </rPr>
      <t>14</t>
    </r>
  </si>
  <si>
    <r>
      <t xml:space="preserve">Management Charge </t>
    </r>
    <r>
      <rPr>
        <b/>
        <vertAlign val="superscript"/>
        <sz val="10"/>
        <color indexed="12"/>
        <rFont val="Arial"/>
        <family val="2"/>
      </rPr>
      <t>15</t>
    </r>
  </si>
  <si>
    <t>Management Charge is calculated as 5% of Total Receipts.</t>
  </si>
  <si>
    <t>View next worksheet (Machinery Costs below) for details on calculations for Cost per Acre</t>
  </si>
  <si>
    <t>Insecticide prices provided by Gerald Grain Center (Ridgeville Corners, OH - Henry County) - Prices vary.  Check with local sources for current prices.</t>
  </si>
  <si>
    <t>Updated:</t>
  </si>
  <si>
    <t>Average Value *</t>
  </si>
  <si>
    <t>Depreciation*</t>
  </si>
  <si>
    <t>Cost Cap *</t>
  </si>
  <si>
    <t>Insurance *</t>
  </si>
  <si>
    <t>Housing *</t>
  </si>
  <si>
    <t>Total *</t>
  </si>
  <si>
    <t>Cost/acre *</t>
  </si>
  <si>
    <t>* Average Value Calculation:</t>
  </si>
  <si>
    <r>
      <t xml:space="preserve">            </t>
    </r>
    <r>
      <rPr>
        <u val="single"/>
        <sz val="9"/>
        <rFont val="Arial"/>
        <family val="2"/>
      </rPr>
      <t>Original equipment cost + Salvage Value + Depreciation</t>
    </r>
  </si>
  <si>
    <t>* Depreciation Calculation:</t>
  </si>
  <si>
    <t xml:space="preserve">                           Useful Life</t>
  </si>
  <si>
    <t xml:space="preserve">            .06 (see previous page footnotes) x Average Value</t>
  </si>
  <si>
    <t>* Insurance</t>
  </si>
  <si>
    <t xml:space="preserve">            .005 (see previous page footnotes) x Average Value</t>
  </si>
  <si>
    <t>*Housing</t>
  </si>
  <si>
    <t xml:space="preserve">             .01 (see previous page footnotes) x Average Value</t>
  </si>
  <si>
    <t>*Total</t>
  </si>
  <si>
    <t>* Interest on Average Value (Cost Cap.)</t>
  </si>
  <si>
    <t xml:space="preserve">             Sum of Depreciation + Cost Cap. + Insurance + Housing</t>
  </si>
  <si>
    <t>*Cost/Acre</t>
  </si>
  <si>
    <t xml:space="preserve">            Acres Farmed</t>
  </si>
  <si>
    <r>
      <t xml:space="preserve">          </t>
    </r>
    <r>
      <rPr>
        <u val="single"/>
        <sz val="9"/>
        <rFont val="Arial"/>
        <family val="0"/>
      </rPr>
      <t>Original equipment cost - Salvage value</t>
    </r>
  </si>
  <si>
    <r>
      <t xml:space="preserve">             </t>
    </r>
    <r>
      <rPr>
        <u val="single"/>
        <sz val="9"/>
        <rFont val="Arial"/>
        <family val="0"/>
      </rPr>
      <t xml:space="preserve"> Total Cost   </t>
    </r>
  </si>
  <si>
    <r>
      <t xml:space="preserve">RETURN TO LABOR AND MANAGEMENT </t>
    </r>
    <r>
      <rPr>
        <b/>
        <vertAlign val="superscript"/>
        <sz val="10"/>
        <color indexed="12"/>
        <rFont val="Arial"/>
        <family val="2"/>
      </rPr>
      <t>16</t>
    </r>
  </si>
  <si>
    <t>RETURN TO LAND</t>
  </si>
  <si>
    <t>Return to labor and management is the revenue less total expenses except operator labor and management.</t>
  </si>
  <si>
    <t>It is a measure of the returns to the operator's labor and management.</t>
  </si>
  <si>
    <t>Acres/Year</t>
  </si>
  <si>
    <t>Authors: Brian Freytag - Ohio State University Extension Intern*</t>
  </si>
  <si>
    <t>Barry Ward - Leader, Production Business Management*</t>
  </si>
  <si>
    <t>/ hour</t>
  </si>
  <si>
    <t>Bob Precheur - Extension Specialist **</t>
  </si>
  <si>
    <t>* Brian Freytag and Barry Ward are part of the Department of Agricultural, Environmental, and Development Economics at OSU</t>
  </si>
  <si>
    <t>Hired Labor assumes 12.5 hours worked at $6.55 per hour (minimum wage).  Hours and pay rates may vary depending on size of farm and location.</t>
  </si>
  <si>
    <t>** Bob Precheur is a part of the Department of Horticulture and Crop Science at OSU</t>
  </si>
  <si>
    <t>Price estimated on University Experts' experience and research</t>
  </si>
  <si>
    <t>Interest on all variable costs for 7 months at 9% interest rate.</t>
  </si>
  <si>
    <t>Machine Harvested</t>
  </si>
  <si>
    <t>2008 Wholesale SWEET CORN PRODUCTION BUDGET</t>
  </si>
  <si>
    <t>/ crate</t>
  </si>
  <si>
    <t>YIELD (crates/A)</t>
  </si>
  <si>
    <t>Combine 275 HP</t>
  </si>
  <si>
    <t>Corn Head 20'</t>
  </si>
  <si>
    <t>Sweet Corn Head 20'</t>
  </si>
  <si>
    <t>fl.oz/A</t>
  </si>
  <si>
    <t>pt./A</t>
  </si>
  <si>
    <t>During Silking assumes use of Warrior (Lambda-cyhalothrin) for cutworms, armyworms, flea beatle, aphic, corn earworm, etc…</t>
  </si>
  <si>
    <t>DIRECTIONS FOR CALCULATING HERBICIDE AND INSECTICIDE COSTS:</t>
  </si>
  <si>
    <t>Note: DO NOT TYPE IN ANY OF THE BOXES HIGHLIGHTED IN GREEN - THIS WILL OVERWRITE THE MACROS, CAUSING ERRORS.</t>
  </si>
  <si>
    <r>
      <t xml:space="preserve">Insert application rate (2.1) in the </t>
    </r>
    <r>
      <rPr>
        <b/>
        <sz val="8"/>
        <rFont val="Arial"/>
        <family val="2"/>
      </rPr>
      <t>GOLD</t>
    </r>
    <r>
      <rPr>
        <sz val="8"/>
        <rFont val="Arial"/>
        <family val="2"/>
      </rPr>
      <t xml:space="preserve"> box. Use the drop down menu to select a unit (qu/A).  </t>
    </r>
  </si>
  <si>
    <r>
      <t xml:space="preserve">Insert the cost per unit in the </t>
    </r>
    <r>
      <rPr>
        <b/>
        <sz val="8"/>
        <rFont val="Arial"/>
        <family val="2"/>
      </rPr>
      <t>GOLD</t>
    </r>
    <r>
      <rPr>
        <sz val="8"/>
        <rFont val="Arial"/>
        <family val="2"/>
      </rPr>
      <t xml:space="preserve"> box.  This will automatically calculate your cost per acre. </t>
    </r>
  </si>
  <si>
    <t>This automatically changes the "per unit" (if originally qu/A, and changed to lb/A, /gal will change to /lb), and conversion calculation.</t>
  </si>
  <si>
    <t>-Per Crate</t>
  </si>
  <si>
    <t>Reflects 1500 total acres.  750 acres of sweet corn and 750 acres of Soybeans. See table below for specific calculations.</t>
  </si>
  <si>
    <t>http://aede.osu.edu/resources/docs/pdf/UDSIO6SG-9315-IQAW-X7QLG33KLHMNAZZ6.pdf</t>
  </si>
  <si>
    <t>Land charges vary throughout the state, check your local rates</t>
  </si>
  <si>
    <t>Average based on 2007-2008 data.  View website below for information: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</si>
</sst>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0_);[Red]\(0\)"/>
    <numFmt numFmtId="168" formatCode="0.00_);[Red]\(0.00\)"/>
    <numFmt numFmtId="169" formatCode="0.000"/>
    <numFmt numFmtId="170" formatCode="0.00000"/>
    <numFmt numFmtId="171" formatCode="0.0000000"/>
    <numFmt numFmtId="172" formatCode="0.0%"/>
    <numFmt numFmtId="173" formatCode="_(* #,##0_);_(* \(#,##0\);_(* &quot;-&quot;??_);_(@_)"/>
    <numFmt numFmtId="174" formatCode="&quot;$&quot;#,##0.000000"/>
    <numFmt numFmtId="175" formatCode="0.0000"/>
    <numFmt numFmtId="176" formatCode="&quot;$&quot;#,##0.000"/>
    <numFmt numFmtId="177" formatCode="#,##0.000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color indexed="12"/>
      <name val="Arial"/>
      <family val="2"/>
    </font>
    <font>
      <vertAlign val="superscript"/>
      <sz val="10"/>
      <color indexed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0" borderId="0" xfId="59" applyFont="1" applyAlignment="1">
      <alignment/>
    </xf>
    <xf numFmtId="0" fontId="2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6" fillId="0" borderId="0" xfId="0" applyFont="1" applyAlignment="1">
      <alignment/>
    </xf>
    <xf numFmtId="165" fontId="2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165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8" fillId="0" borderId="12" xfId="0" applyFont="1" applyBorder="1" applyAlignment="1">
      <alignment/>
    </xf>
    <xf numFmtId="0" fontId="0" fillId="0" borderId="12" xfId="0" applyBorder="1" applyAlignment="1">
      <alignment/>
    </xf>
    <xf numFmtId="0" fontId="9" fillId="0" borderId="12" xfId="0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2" fontId="8" fillId="0" borderId="0" xfId="0" applyNumberFormat="1" applyFont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 horizontal="center"/>
    </xf>
    <xf numFmtId="164" fontId="8" fillId="0" borderId="0" xfId="0" applyNumberFormat="1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3" fontId="8" fillId="0" borderId="11" xfId="44" applyNumberFormat="1" applyFont="1" applyFill="1" applyBorder="1" applyAlignment="1">
      <alignment horizontal="center"/>
    </xf>
    <xf numFmtId="2" fontId="8" fillId="0" borderId="11" xfId="0" applyNumberFormat="1" applyFont="1" applyBorder="1" applyAlignment="1" quotePrefix="1">
      <alignment horizontal="center"/>
    </xf>
    <xf numFmtId="2" fontId="0" fillId="0" borderId="11" xfId="0" applyNumberFormat="1" applyBorder="1" applyAlignment="1">
      <alignment/>
    </xf>
    <xf numFmtId="9" fontId="8" fillId="0" borderId="0" xfId="59" applyFont="1" applyAlignment="1">
      <alignment/>
    </xf>
    <xf numFmtId="0" fontId="8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73" fontId="9" fillId="0" borderId="0" xfId="42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9" fontId="9" fillId="0" borderId="0" xfId="59" applyFont="1" applyAlignment="1">
      <alignment horizontal="right"/>
    </xf>
    <xf numFmtId="9" fontId="8" fillId="0" borderId="0" xfId="59" applyFont="1" applyAlignment="1">
      <alignment horizontal="right"/>
    </xf>
    <xf numFmtId="173" fontId="8" fillId="0" borderId="0" xfId="42" applyNumberFormat="1" applyFont="1" applyAlignment="1">
      <alignment/>
    </xf>
    <xf numFmtId="2" fontId="9" fillId="0" borderId="0" xfId="0" applyNumberFormat="1" applyFont="1" applyAlignment="1">
      <alignment/>
    </xf>
    <xf numFmtId="173" fontId="9" fillId="0" borderId="0" xfId="0" applyNumberFormat="1" applyFont="1" applyAlignment="1">
      <alignment horizontal="right"/>
    </xf>
    <xf numFmtId="0" fontId="10" fillId="0" borderId="0" xfId="53" applyAlignment="1" applyProtection="1">
      <alignment/>
      <protection/>
    </xf>
    <xf numFmtId="173" fontId="8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 quotePrefix="1">
      <alignment horizontal="left"/>
    </xf>
    <xf numFmtId="0" fontId="0" fillId="0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4" fontId="2" fillId="34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43" fontId="0" fillId="0" borderId="13" xfId="0" applyNumberFormat="1" applyFont="1" applyBorder="1" applyAlignment="1">
      <alignment/>
    </xf>
    <xf numFmtId="43" fontId="2" fillId="34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7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176" fontId="7" fillId="33" borderId="0" xfId="0" applyNumberFormat="1" applyFont="1" applyFill="1" applyAlignment="1">
      <alignment/>
    </xf>
    <xf numFmtId="0" fontId="6" fillId="0" borderId="0" xfId="0" applyFont="1" applyAlignment="1" quotePrefix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 quotePrefix="1">
      <alignment/>
    </xf>
    <xf numFmtId="43" fontId="2" fillId="34" borderId="13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0" xfId="0" applyNumberFormat="1" applyFont="1" applyAlignment="1" quotePrefix="1">
      <alignment/>
    </xf>
    <xf numFmtId="1" fontId="2" fillId="34" borderId="0" xfId="0" applyNumberFormat="1" applyFont="1" applyFill="1" applyAlignment="1">
      <alignment/>
    </xf>
    <xf numFmtId="2" fontId="2" fillId="34" borderId="0" xfId="0" applyNumberFormat="1" applyFont="1" applyFill="1" applyAlignment="1">
      <alignment/>
    </xf>
    <xf numFmtId="4" fontId="2" fillId="34" borderId="13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5" fontId="0" fillId="0" borderId="1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165" fontId="0" fillId="0" borderId="11" xfId="0" applyNumberForma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/>
    </xf>
    <xf numFmtId="2" fontId="8" fillId="34" borderId="0" xfId="0" applyNumberFormat="1" applyFont="1" applyFill="1" applyBorder="1" applyAlignment="1">
      <alignment horizontal="center"/>
    </xf>
    <xf numFmtId="165" fontId="0" fillId="34" borderId="0" xfId="0" applyNumberFormat="1" applyFill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66" fontId="8" fillId="33" borderId="10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166" fontId="8" fillId="33" borderId="0" xfId="0" applyNumberFormat="1" applyFont="1" applyFill="1" applyAlignment="1">
      <alignment horizontal="center"/>
    </xf>
    <xf numFmtId="3" fontId="8" fillId="33" borderId="0" xfId="0" applyNumberFormat="1" applyFont="1" applyFill="1" applyAlignment="1">
      <alignment horizontal="center"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66" fontId="8" fillId="33" borderId="11" xfId="44" applyNumberFormat="1" applyFont="1" applyFill="1" applyBorder="1" applyAlignment="1">
      <alignment horizontal="center"/>
    </xf>
    <xf numFmtId="3" fontId="8" fillId="33" borderId="11" xfId="44" applyNumberFormat="1" applyFont="1" applyFill="1" applyBorder="1" applyAlignment="1">
      <alignment horizontal="center"/>
    </xf>
    <xf numFmtId="164" fontId="8" fillId="33" borderId="10" xfId="0" applyNumberFormat="1" applyFont="1" applyFill="1" applyBorder="1" applyAlignment="1">
      <alignment horizontal="center"/>
    </xf>
    <xf numFmtId="164" fontId="8" fillId="33" borderId="0" xfId="0" applyNumberFormat="1" applyFont="1" applyFill="1" applyAlignment="1">
      <alignment horizontal="center"/>
    </xf>
    <xf numFmtId="164" fontId="8" fillId="33" borderId="0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1" fontId="11" fillId="33" borderId="0" xfId="0" applyNumberFormat="1" applyFont="1" applyFill="1" applyAlignment="1">
      <alignment/>
    </xf>
    <xf numFmtId="7" fontId="9" fillId="33" borderId="0" xfId="44" applyNumberFormat="1" applyFont="1" applyFill="1" applyAlignment="1">
      <alignment/>
    </xf>
    <xf numFmtId="2" fontId="8" fillId="34" borderId="0" xfId="0" applyNumberFormat="1" applyFont="1" applyFill="1" applyAlignment="1">
      <alignment horizontal="center"/>
    </xf>
    <xf numFmtId="2" fontId="8" fillId="34" borderId="11" xfId="0" applyNumberFormat="1" applyFont="1" applyFill="1" applyBorder="1" applyAlignment="1">
      <alignment horizontal="center"/>
    </xf>
    <xf numFmtId="2" fontId="9" fillId="34" borderId="0" xfId="0" applyNumberFormat="1" applyFont="1" applyFill="1" applyAlignment="1">
      <alignment horizontal="center"/>
    </xf>
    <xf numFmtId="165" fontId="9" fillId="34" borderId="0" xfId="0" applyNumberFormat="1" applyFont="1" applyFill="1" applyAlignment="1">
      <alignment horizontal="center"/>
    </xf>
    <xf numFmtId="39" fontId="8" fillId="34" borderId="11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0" fontId="0" fillId="34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43" fontId="2" fillId="34" borderId="0" xfId="0" applyNumberFormat="1" applyFont="1" applyFill="1" applyBorder="1" applyAlignment="1">
      <alignment/>
    </xf>
    <xf numFmtId="8" fontId="7" fillId="33" borderId="0" xfId="0" applyNumberFormat="1" applyFont="1" applyFill="1" applyAlignment="1">
      <alignment/>
    </xf>
    <xf numFmtId="2" fontId="0" fillId="34" borderId="10" xfId="0" applyNumberFormat="1" applyFill="1" applyBorder="1" applyAlignment="1">
      <alignment/>
    </xf>
    <xf numFmtId="2" fontId="0" fillId="34" borderId="0" xfId="0" applyNumberFormat="1" applyFill="1" applyBorder="1" applyAlignment="1">
      <alignment/>
    </xf>
    <xf numFmtId="0" fontId="13" fillId="0" borderId="0" xfId="0" applyFont="1" applyAlignment="1">
      <alignment/>
    </xf>
    <xf numFmtId="2" fontId="0" fillId="34" borderId="0" xfId="0" applyNumberFormat="1" applyFill="1" applyAlignment="1">
      <alignment/>
    </xf>
    <xf numFmtId="164" fontId="8" fillId="0" borderId="0" xfId="0" applyNumberFormat="1" applyFont="1" applyBorder="1" applyAlignment="1" quotePrefix="1">
      <alignment horizontal="center"/>
    </xf>
    <xf numFmtId="2" fontId="8" fillId="0" borderId="0" xfId="0" applyNumberFormat="1" applyFont="1" applyFill="1" applyBorder="1" applyAlignment="1" quotePrefix="1">
      <alignment horizontal="center"/>
    </xf>
    <xf numFmtId="2" fontId="8" fillId="34" borderId="0" xfId="0" applyNumberFormat="1" applyFont="1" applyFill="1" applyBorder="1" applyAlignment="1">
      <alignment horizontal="center"/>
    </xf>
    <xf numFmtId="2" fontId="8" fillId="34" borderId="0" xfId="0" applyNumberFormat="1" applyFont="1" applyFill="1" applyAlignment="1" quotePrefix="1">
      <alignment horizontal="center"/>
    </xf>
    <xf numFmtId="165" fontId="8" fillId="0" borderId="1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14" fillId="0" borderId="0" xfId="53" applyFont="1" applyAlignment="1" applyProtection="1">
      <alignment/>
      <protection/>
    </xf>
    <xf numFmtId="2" fontId="9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2</xdr:col>
      <xdr:colOff>523875</xdr:colOff>
      <xdr:row>4</xdr:row>
      <xdr:rowOff>152400</xdr:rowOff>
    </xdr:to>
    <xdr:pic>
      <xdr:nvPicPr>
        <xdr:cNvPr id="1" name="Picture 3" descr="web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733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ede.osu.edu/resources/docs/pdf/UDSIO6SG-9315-IQAW-X7QLG33KLHMNAZZ6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view="pageBreakPreview" zoomScaleSheetLayoutView="100" zoomScalePageLayoutView="0" workbookViewId="0" topLeftCell="A1">
      <selection activeCell="I6" sqref="I6"/>
    </sheetView>
  </sheetViews>
  <sheetFormatPr defaultColWidth="9.140625" defaultRowHeight="12.75"/>
  <cols>
    <col min="1" max="1" width="2.8515625" style="0" customWidth="1"/>
    <col min="2" max="2" width="1.8515625" style="0" customWidth="1"/>
    <col min="3" max="3" width="11.421875" style="0" customWidth="1"/>
    <col min="4" max="4" width="6.7109375" style="0" customWidth="1"/>
    <col min="5" max="5" width="7.28125" style="0" customWidth="1"/>
    <col min="6" max="6" width="9.421875" style="0" customWidth="1"/>
    <col min="7" max="8" width="8.8515625" style="0" customWidth="1"/>
    <col min="9" max="9" width="9.421875" style="0" bestFit="1" customWidth="1"/>
    <col min="10" max="10" width="6.7109375" style="0" customWidth="1"/>
    <col min="11" max="11" width="8.8515625" style="19" customWidth="1"/>
    <col min="12" max="13" width="8.00390625" style="19" customWidth="1"/>
  </cols>
  <sheetData>
    <row r="1" spans="2:16" ht="15" customHeight="1">
      <c r="B1" s="30"/>
      <c r="C1" s="30"/>
      <c r="D1" s="160" t="s">
        <v>158</v>
      </c>
      <c r="E1" s="160"/>
      <c r="F1" s="160"/>
      <c r="G1" s="160"/>
      <c r="H1" s="160"/>
      <c r="I1" s="160"/>
      <c r="J1" s="160"/>
      <c r="K1" s="160"/>
      <c r="L1" s="160"/>
      <c r="M1" s="160"/>
      <c r="N1" s="30"/>
      <c r="P1" s="150" t="s">
        <v>76</v>
      </c>
    </row>
    <row r="2" spans="1:16" ht="15.75" customHeight="1">
      <c r="A2" s="1"/>
      <c r="B2" s="1"/>
      <c r="C2" s="1"/>
      <c r="D2" s="161" t="s">
        <v>157</v>
      </c>
      <c r="E2" s="161"/>
      <c r="F2" s="161"/>
      <c r="G2" s="161"/>
      <c r="H2" s="161"/>
      <c r="I2" s="161"/>
      <c r="J2" s="161"/>
      <c r="K2" s="161"/>
      <c r="L2" s="161"/>
      <c r="M2" s="161"/>
      <c r="N2" s="1"/>
      <c r="P2" s="150" t="s">
        <v>77</v>
      </c>
    </row>
    <row r="3" spans="1:16" ht="12.75">
      <c r="A3" s="1"/>
      <c r="B3" s="1"/>
      <c r="C3" s="1"/>
      <c r="D3" s="162" t="s">
        <v>148</v>
      </c>
      <c r="E3" s="162"/>
      <c r="F3" s="162"/>
      <c r="G3" s="162"/>
      <c r="H3" s="162"/>
      <c r="I3" s="162"/>
      <c r="J3" s="162"/>
      <c r="K3" s="162"/>
      <c r="L3" s="162"/>
      <c r="M3" s="162"/>
      <c r="N3" s="1"/>
      <c r="P3" s="150" t="s">
        <v>81</v>
      </c>
    </row>
    <row r="4" spans="1:16" ht="12.75">
      <c r="A4" s="1"/>
      <c r="B4" s="1"/>
      <c r="C4" s="1"/>
      <c r="D4" s="163" t="s">
        <v>149</v>
      </c>
      <c r="E4" s="163"/>
      <c r="F4" s="163"/>
      <c r="G4" s="163"/>
      <c r="H4" s="163"/>
      <c r="I4" s="163"/>
      <c r="J4" s="163"/>
      <c r="K4" s="163"/>
      <c r="L4" s="163"/>
      <c r="P4" s="150" t="s">
        <v>164</v>
      </c>
    </row>
    <row r="5" spans="1:16" ht="12.75" customHeight="1">
      <c r="A5" s="1"/>
      <c r="B5" s="1"/>
      <c r="C5" s="1"/>
      <c r="D5" s="162" t="s">
        <v>151</v>
      </c>
      <c r="E5" s="162"/>
      <c r="F5" s="162"/>
      <c r="G5" s="162"/>
      <c r="H5" s="162"/>
      <c r="I5" s="162"/>
      <c r="J5" s="162"/>
      <c r="K5" s="162"/>
      <c r="L5" s="162"/>
      <c r="M5" s="162"/>
      <c r="N5" s="69"/>
      <c r="P5" s="150" t="s">
        <v>165</v>
      </c>
    </row>
    <row r="6" spans="1:14" ht="15.75">
      <c r="A6" s="1"/>
      <c r="B6" s="1"/>
      <c r="C6" s="1"/>
      <c r="D6" s="1"/>
      <c r="E6" s="1"/>
      <c r="F6" s="1"/>
      <c r="G6" s="3"/>
      <c r="H6" s="3"/>
      <c r="I6" s="1"/>
      <c r="J6" s="2"/>
      <c r="K6" s="2"/>
      <c r="L6" s="127" t="s">
        <v>119</v>
      </c>
      <c r="M6" s="2"/>
      <c r="N6" s="128">
        <v>39616</v>
      </c>
    </row>
    <row r="7" spans="1:14" ht="12.75">
      <c r="A7" s="4"/>
      <c r="B7" s="5" t="s">
        <v>0</v>
      </c>
      <c r="C7" s="5"/>
      <c r="D7" s="5"/>
      <c r="E7" s="5"/>
      <c r="F7" s="158" t="s">
        <v>1</v>
      </c>
      <c r="G7" s="158"/>
      <c r="H7" s="6" t="s">
        <v>27</v>
      </c>
      <c r="I7" s="158" t="s">
        <v>19</v>
      </c>
      <c r="J7" s="158"/>
      <c r="K7" s="159" t="s">
        <v>160</v>
      </c>
      <c r="L7" s="159"/>
      <c r="M7" s="159"/>
      <c r="N7" s="6" t="s">
        <v>2</v>
      </c>
    </row>
    <row r="8" spans="1:14" ht="12.75">
      <c r="A8" s="7"/>
      <c r="B8" s="7"/>
      <c r="C8" s="7"/>
      <c r="D8" s="7"/>
      <c r="E8" s="7"/>
      <c r="F8" s="7"/>
      <c r="G8" s="7"/>
      <c r="H8" s="9" t="s">
        <v>28</v>
      </c>
      <c r="I8" s="157" t="s">
        <v>18</v>
      </c>
      <c r="J8" s="157"/>
      <c r="K8" s="8"/>
      <c r="L8" s="8"/>
      <c r="M8" s="8"/>
      <c r="N8" s="9" t="s">
        <v>3</v>
      </c>
    </row>
    <row r="9" spans="1:14" ht="12.75">
      <c r="A9" s="10"/>
      <c r="B9" s="10"/>
      <c r="C9" s="10"/>
      <c r="D9" s="10"/>
      <c r="E9" s="10"/>
      <c r="F9" s="10"/>
      <c r="G9" s="10"/>
      <c r="H9" s="22" t="s">
        <v>29</v>
      </c>
      <c r="I9" s="10"/>
      <c r="J9" s="10"/>
      <c r="K9" s="11">
        <v>200</v>
      </c>
      <c r="L9" s="11">
        <v>260</v>
      </c>
      <c r="M9" s="11">
        <v>300</v>
      </c>
      <c r="N9" s="23">
        <v>350</v>
      </c>
    </row>
    <row r="10" spans="1:14" ht="14.25">
      <c r="A10" s="13" t="s">
        <v>24</v>
      </c>
      <c r="B10" s="1"/>
      <c r="C10" s="1"/>
      <c r="D10" s="1"/>
      <c r="E10" s="1"/>
      <c r="F10" s="1"/>
      <c r="G10" s="1"/>
      <c r="H10" s="1"/>
      <c r="I10" s="1"/>
      <c r="J10" s="1"/>
      <c r="K10" s="14"/>
      <c r="L10" s="14"/>
      <c r="M10" s="14"/>
      <c r="N10" s="13"/>
    </row>
    <row r="11" spans="1:14" ht="12.75">
      <c r="A11" s="1"/>
      <c r="B11" s="1" t="s">
        <v>26</v>
      </c>
      <c r="C11" s="1"/>
      <c r="D11" s="1"/>
      <c r="E11" s="1"/>
      <c r="F11" s="1"/>
      <c r="G11" s="1"/>
      <c r="H11" s="1"/>
      <c r="I11" s="31">
        <v>10</v>
      </c>
      <c r="J11" s="1" t="s">
        <v>159</v>
      </c>
      <c r="K11" s="15">
        <f>+$I$11*K9</f>
        <v>2000</v>
      </c>
      <c r="L11" s="15">
        <f>+$I$11*L9</f>
        <v>2600</v>
      </c>
      <c r="M11" s="15">
        <f>+$I$11*M9</f>
        <v>3000</v>
      </c>
      <c r="N11" s="25">
        <f>I11*N9</f>
        <v>3500</v>
      </c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4"/>
      <c r="L12" s="14"/>
      <c r="M12" s="14"/>
      <c r="N12" s="29"/>
    </row>
    <row r="13" spans="1:14" ht="12.75">
      <c r="A13" s="13" t="s">
        <v>4</v>
      </c>
      <c r="B13" s="1"/>
      <c r="C13" s="1"/>
      <c r="D13" s="1"/>
      <c r="E13" s="156" t="s">
        <v>42</v>
      </c>
      <c r="F13" s="156"/>
      <c r="G13" s="156"/>
      <c r="H13" s="156"/>
      <c r="I13" s="1"/>
      <c r="J13" s="1"/>
      <c r="K13" s="14"/>
      <c r="L13" s="14"/>
      <c r="M13" s="14"/>
      <c r="N13" s="29"/>
    </row>
    <row r="14" spans="1:14" ht="14.25">
      <c r="A14" s="1"/>
      <c r="B14" s="1" t="s">
        <v>33</v>
      </c>
      <c r="C14" s="1"/>
      <c r="D14" s="1"/>
      <c r="E14" s="1">
        <v>22000</v>
      </c>
      <c r="F14" s="1">
        <v>24000</v>
      </c>
      <c r="G14" s="1">
        <v>28000</v>
      </c>
      <c r="H14" s="32">
        <v>28000</v>
      </c>
      <c r="I14" s="31">
        <v>4.5</v>
      </c>
      <c r="J14" s="1" t="s">
        <v>31</v>
      </c>
      <c r="K14" s="72">
        <f>+$I$14*E14/10000</f>
        <v>9.9</v>
      </c>
      <c r="L14" s="72">
        <f>+$I$14*F14/10000</f>
        <v>10.8</v>
      </c>
      <c r="M14" s="72">
        <f>+$I$14*G14/10000</f>
        <v>12.6</v>
      </c>
      <c r="N14" s="26">
        <f>+$I$14*$H$14/10000</f>
        <v>12.6</v>
      </c>
    </row>
    <row r="15" spans="1:14" ht="12.75">
      <c r="A15" s="1"/>
      <c r="B15" s="1"/>
      <c r="C15" s="1" t="s">
        <v>39</v>
      </c>
      <c r="D15" s="1"/>
      <c r="F15" s="32"/>
      <c r="G15" s="1" t="s">
        <v>38</v>
      </c>
      <c r="I15" s="31"/>
      <c r="J15" s="2" t="s">
        <v>32</v>
      </c>
      <c r="K15" s="72">
        <f>$I$15*$F$15</f>
        <v>0</v>
      </c>
      <c r="L15" s="72">
        <f>$I$15*$F$15</f>
        <v>0</v>
      </c>
      <c r="M15" s="72">
        <f>$I$15*$F$15</f>
        <v>0</v>
      </c>
      <c r="N15" s="133">
        <f>F15*I15</f>
        <v>0</v>
      </c>
    </row>
    <row r="16" spans="1:14" ht="14.25">
      <c r="A16" s="1"/>
      <c r="B16" s="1" t="s">
        <v>35</v>
      </c>
      <c r="C16" s="1"/>
      <c r="D16" s="1"/>
      <c r="E16" s="156" t="s">
        <v>43</v>
      </c>
      <c r="F16" s="156"/>
      <c r="G16" s="156"/>
      <c r="H16" s="156"/>
      <c r="I16" s="1"/>
      <c r="J16" s="1"/>
      <c r="K16" s="72"/>
      <c r="L16" s="72"/>
      <c r="M16" s="72"/>
      <c r="N16" s="26"/>
    </row>
    <row r="17" spans="1:14" ht="12.75">
      <c r="A17" s="1"/>
      <c r="B17" s="1"/>
      <c r="C17" s="1" t="s">
        <v>20</v>
      </c>
      <c r="D17" s="1"/>
      <c r="E17" s="1">
        <v>100</v>
      </c>
      <c r="F17" s="1">
        <v>120</v>
      </c>
      <c r="G17" s="1">
        <v>150</v>
      </c>
      <c r="H17" s="32">
        <v>150</v>
      </c>
      <c r="I17" s="80">
        <f>E69/560</f>
        <v>0.6892857142857143</v>
      </c>
      <c r="J17" s="1" t="s">
        <v>17</v>
      </c>
      <c r="K17" s="72">
        <f>+$I$17*E17</f>
        <v>68.92857142857143</v>
      </c>
      <c r="L17" s="72">
        <f>+$I$17*F17</f>
        <v>82.71428571428571</v>
      </c>
      <c r="M17" s="72">
        <f>+$I$17*G17</f>
        <v>103.39285714285714</v>
      </c>
      <c r="N17" s="26">
        <f>+$I$17*$H$17</f>
        <v>103.39285714285714</v>
      </c>
    </row>
    <row r="18" spans="1:14" ht="12.75">
      <c r="A18" s="1"/>
      <c r="B18" s="1"/>
      <c r="C18" s="1" t="s">
        <v>21</v>
      </c>
      <c r="D18" s="1"/>
      <c r="E18" s="1">
        <v>50</v>
      </c>
      <c r="F18" s="1">
        <v>70</v>
      </c>
      <c r="G18" s="1">
        <v>100</v>
      </c>
      <c r="H18" s="32">
        <v>100</v>
      </c>
      <c r="I18" s="80">
        <f>H69/1040</f>
        <v>0.8211538461538461</v>
      </c>
      <c r="J18" s="1" t="s">
        <v>17</v>
      </c>
      <c r="K18" s="72">
        <f>+$I$18*E18</f>
        <v>41.05769230769231</v>
      </c>
      <c r="L18" s="72">
        <f>+$I$18*F18</f>
        <v>57.480769230769226</v>
      </c>
      <c r="M18" s="72">
        <f>+$I$18*G18</f>
        <v>82.11538461538461</v>
      </c>
      <c r="N18" s="26">
        <f>+$I$18*$H$18</f>
        <v>82.11538461538461</v>
      </c>
    </row>
    <row r="19" spans="1:14" ht="12.75">
      <c r="A19" s="1"/>
      <c r="B19" s="1"/>
      <c r="C19" s="1" t="s">
        <v>22</v>
      </c>
      <c r="D19" s="1"/>
      <c r="E19" s="1">
        <v>50</v>
      </c>
      <c r="F19" s="1">
        <v>70</v>
      </c>
      <c r="G19" s="1">
        <v>100</v>
      </c>
      <c r="H19" s="32">
        <v>100</v>
      </c>
      <c r="I19" s="80">
        <f>L69/1200</f>
        <v>0.47333333333333333</v>
      </c>
      <c r="J19" s="1" t="s">
        <v>17</v>
      </c>
      <c r="K19" s="72">
        <f>+$I$19*E19</f>
        <v>23.666666666666668</v>
      </c>
      <c r="L19" s="72">
        <f>+$I$19*F19</f>
        <v>33.13333333333333</v>
      </c>
      <c r="M19" s="72">
        <f>+$I$19*G19</f>
        <v>47.333333333333336</v>
      </c>
      <c r="N19" s="26">
        <f>+$I$19*$H$19</f>
        <v>47.333333333333336</v>
      </c>
    </row>
    <row r="20" spans="1:14" ht="12.75">
      <c r="A20" s="1"/>
      <c r="B20" s="1"/>
      <c r="C20" s="1" t="s">
        <v>30</v>
      </c>
      <c r="D20" s="1"/>
      <c r="E20" s="1"/>
      <c r="F20" s="1">
        <v>0.25</v>
      </c>
      <c r="G20" s="1"/>
      <c r="H20" s="32">
        <v>0.25</v>
      </c>
      <c r="I20" s="31">
        <v>23.5</v>
      </c>
      <c r="J20" s="1" t="s">
        <v>5</v>
      </c>
      <c r="K20" s="72">
        <f>$F$20*$I$20</f>
        <v>5.875</v>
      </c>
      <c r="L20" s="72">
        <f>$F$20*$I$20</f>
        <v>5.875</v>
      </c>
      <c r="M20" s="72">
        <f>$F$20*$I$20</f>
        <v>5.875</v>
      </c>
      <c r="N20" s="26">
        <f>$F$20*$I$20</f>
        <v>5.875</v>
      </c>
    </row>
    <row r="21" spans="1:14" ht="14.25">
      <c r="A21" s="1"/>
      <c r="B21" s="1" t="s">
        <v>107</v>
      </c>
      <c r="C21" s="1"/>
      <c r="D21" s="1"/>
      <c r="E21" s="1"/>
      <c r="F21" s="1"/>
      <c r="G21" s="1"/>
      <c r="H21" s="1"/>
      <c r="I21" s="1"/>
      <c r="J21" s="1"/>
      <c r="K21" s="72"/>
      <c r="L21" s="72"/>
      <c r="M21" s="72"/>
      <c r="N21" s="27"/>
    </row>
    <row r="22" spans="1:14" ht="12.75">
      <c r="A22" s="1"/>
      <c r="B22" s="1"/>
      <c r="C22" s="1" t="s">
        <v>40</v>
      </c>
      <c r="D22" s="1"/>
      <c r="E22" s="76"/>
      <c r="F22" s="76"/>
      <c r="G22" s="77">
        <v>2.1</v>
      </c>
      <c r="H22" s="152" t="s">
        <v>76</v>
      </c>
      <c r="I22" s="31">
        <v>36.54</v>
      </c>
      <c r="J22" s="151" t="str">
        <f>IF(H22="qu/A","/gal",IF(H22="oz/A","/oz",IF(H22="lb/A","/lb",IF(H22="fl.oz/A","/gal",IF(H22="pt./A","/gal","-")))))</f>
        <v>/gal</v>
      </c>
      <c r="K22" s="72">
        <f>IF($H22="qu/A",($G22*$I22)/4,IF($H22="fl.oz/A",($G22*$I22)/128,IF($H22="lb/A",$G22*$I22,IF($H22="oz/A",$G22*$I22,IF($H22="pt./A",($G22*$I22)/8)))))</f>
        <v>19.1835</v>
      </c>
      <c r="L22" s="72">
        <f aca="true" t="shared" si="0" ref="L22:N27">IF($H22="qu/A",($G22*$I22)/4,IF($H22="fl.oz/A",($G22*$I22)/128,IF($H22="lb/A",$G22*$I22,IF($H22="oz/A",$G22*$I22,IF($H22="pt./A",($G22*$I22)/8)))))</f>
        <v>19.1835</v>
      </c>
      <c r="M22" s="72">
        <f t="shared" si="0"/>
        <v>19.1835</v>
      </c>
      <c r="N22" s="74">
        <f t="shared" si="0"/>
        <v>19.1835</v>
      </c>
    </row>
    <row r="23" spans="1:14" ht="12.75">
      <c r="A23" s="1"/>
      <c r="B23" s="1"/>
      <c r="C23" s="1" t="s">
        <v>41</v>
      </c>
      <c r="D23" s="1"/>
      <c r="E23" s="76"/>
      <c r="F23" s="76"/>
      <c r="G23" s="79">
        <v>0.75</v>
      </c>
      <c r="H23" s="152" t="s">
        <v>77</v>
      </c>
      <c r="I23" s="31">
        <v>18.32</v>
      </c>
      <c r="J23" s="151" t="str">
        <f>IF(H23="qu/A","/gal",IF(H23="oz/A","/oz",IF(H23="lb/A","/lb",IF(H23="fl.oz/A","/gal",IF(H23="pt./A","/gal","-")))))</f>
        <v>/oz</v>
      </c>
      <c r="K23" s="72">
        <f>IF($H23="qu/A",($G23*$I23)/4,IF($H23="fl.oz/A",($G23*$I23)/128,IF($H23="lb/A",$G23*$I23,IF($H23="oz/A",$G23*$I23,IF($H23="pt./A",($G23*$I23)/8)))))</f>
        <v>13.74</v>
      </c>
      <c r="L23" s="72">
        <f t="shared" si="0"/>
        <v>13.74</v>
      </c>
      <c r="M23" s="72">
        <f t="shared" si="0"/>
        <v>13.74</v>
      </c>
      <c r="N23" s="74">
        <f t="shared" si="0"/>
        <v>13.74</v>
      </c>
    </row>
    <row r="24" spans="1:14" ht="14.25">
      <c r="A24" s="1"/>
      <c r="B24" s="1" t="s">
        <v>106</v>
      </c>
      <c r="C24" s="1"/>
      <c r="D24" s="1"/>
      <c r="E24" s="76"/>
      <c r="F24" s="76"/>
      <c r="G24" s="76"/>
      <c r="H24" s="78"/>
      <c r="I24" s="70"/>
      <c r="J24" s="1"/>
      <c r="K24" s="72"/>
      <c r="L24" s="72"/>
      <c r="M24" s="72"/>
      <c r="N24" s="72"/>
    </row>
    <row r="25" spans="1:14" ht="12.75">
      <c r="A25" s="1"/>
      <c r="B25" s="1"/>
      <c r="C25" s="1" t="s">
        <v>82</v>
      </c>
      <c r="D25" s="1"/>
      <c r="E25" s="1"/>
      <c r="F25" s="1"/>
      <c r="G25" s="32">
        <v>8.7</v>
      </c>
      <c r="H25" s="153" t="s">
        <v>81</v>
      </c>
      <c r="I25" s="31">
        <v>2.23</v>
      </c>
      <c r="J25" s="151" t="str">
        <f>IF(H25="qu/A","/gal",IF(H25="oz/A","/oz",IF(H25="lb/A","/lb",IF(H25="fl.oz/A","/gal",IF(H25="pt./A","/gal","-")))))</f>
        <v>/lb</v>
      </c>
      <c r="K25" s="72">
        <f>IF($H25="qu/A",($G25*$I25)/4,IF($H25="fl.oz/A",($G25*$I25)/128,IF($H25="lb/A",$G25*$I25,IF($H25="oz/A",$G25*$I25,IF($H25="pt./A",($G25*$I25)/8)))))</f>
        <v>19.401</v>
      </c>
      <c r="L25" s="72">
        <f t="shared" si="0"/>
        <v>19.401</v>
      </c>
      <c r="M25" s="72">
        <f t="shared" si="0"/>
        <v>19.401</v>
      </c>
      <c r="N25" s="74">
        <f t="shared" si="0"/>
        <v>19.401</v>
      </c>
    </row>
    <row r="26" spans="1:14" ht="12.75">
      <c r="A26" s="1"/>
      <c r="B26" s="1"/>
      <c r="C26" s="1" t="s">
        <v>83</v>
      </c>
      <c r="D26" s="1"/>
      <c r="E26" s="1"/>
      <c r="G26" s="32">
        <v>9.6</v>
      </c>
      <c r="H26" s="153" t="s">
        <v>164</v>
      </c>
      <c r="I26" s="31">
        <v>87.31</v>
      </c>
      <c r="J26" s="151" t="str">
        <f>IF(H26="qu/A","/gal",IF(H26="oz/A","/oz",IF(H26="lb/A","/lb",IF(H26="fl.oz/A","/gal",IF(H26="pt./A","/gal","-")))))</f>
        <v>/gal</v>
      </c>
      <c r="K26" s="72">
        <f>IF($H26="qu/A",($G26*$I26)/4,IF($H26="fl.oz/A",($G26*$I26)/128,IF($H26="lb/A",$G26*$I26,IF($H26="oz/A",$G26*$I26,IF($H26="pt./A",($G26*$I26)/8)))))</f>
        <v>6.54825</v>
      </c>
      <c r="L26" s="72">
        <f t="shared" si="0"/>
        <v>6.54825</v>
      </c>
      <c r="M26" s="72">
        <f t="shared" si="0"/>
        <v>6.54825</v>
      </c>
      <c r="N26" s="74">
        <f t="shared" si="0"/>
        <v>6.54825</v>
      </c>
    </row>
    <row r="27" spans="1:14" ht="14.25">
      <c r="A27" s="1"/>
      <c r="B27" s="1" t="s">
        <v>75</v>
      </c>
      <c r="C27" s="1"/>
      <c r="D27" s="1"/>
      <c r="E27" s="1"/>
      <c r="F27" s="1"/>
      <c r="G27" s="32">
        <v>0</v>
      </c>
      <c r="H27" s="151" t="s">
        <v>164</v>
      </c>
      <c r="I27" s="31">
        <v>286</v>
      </c>
      <c r="J27" s="151" t="str">
        <f>IF(H27="qu/A","/gal",IF(H27="oz/A","/oz",IF(H27="lb/A","/lb",IF(H27="fl.oz/A","/gal",IF(H27="pt./A","/gal","-")))))</f>
        <v>/gal</v>
      </c>
      <c r="K27" s="72">
        <f>IF($H27="qu/A",($G27*$I27)/4,IF($H27="fl.oz/A",($G27*$I27)/128,IF($H27="lb/A",$G27*$I27,IF($H27="oz/A",$G27*$I27,IF($H27="pt./A",($G27*$I27)/8)))))</f>
        <v>0</v>
      </c>
      <c r="L27" s="72">
        <f t="shared" si="0"/>
        <v>0</v>
      </c>
      <c r="M27" s="72">
        <f t="shared" si="0"/>
        <v>0</v>
      </c>
      <c r="N27" s="74">
        <f t="shared" si="0"/>
        <v>0</v>
      </c>
    </row>
    <row r="28" spans="1:14" ht="14.25">
      <c r="A28" s="1"/>
      <c r="B28" s="1" t="s">
        <v>101</v>
      </c>
      <c r="C28" s="1"/>
      <c r="D28" s="1"/>
      <c r="E28" s="1"/>
      <c r="F28" s="1"/>
      <c r="G28" s="1"/>
      <c r="H28" s="1"/>
      <c r="I28" s="1"/>
      <c r="J28" s="1"/>
      <c r="K28" s="72">
        <f>$K$111</f>
        <v>16.6705</v>
      </c>
      <c r="L28" s="72">
        <f>$K$111</f>
        <v>16.6705</v>
      </c>
      <c r="M28" s="72">
        <f>$K$111</f>
        <v>16.6705</v>
      </c>
      <c r="N28" s="74">
        <f>$K$111</f>
        <v>16.6705</v>
      </c>
    </row>
    <row r="29" spans="1:14" ht="14.25">
      <c r="A29" s="1"/>
      <c r="B29" s="1" t="s">
        <v>103</v>
      </c>
      <c r="C29" s="1"/>
      <c r="D29" s="1"/>
      <c r="E29" s="1"/>
      <c r="F29" s="1"/>
      <c r="G29" s="1"/>
      <c r="H29" s="1"/>
      <c r="I29" s="1"/>
      <c r="J29" s="1"/>
      <c r="K29" s="72">
        <f>$M$111</f>
        <v>13.196710441202672</v>
      </c>
      <c r="L29" s="72">
        <f>$M$111</f>
        <v>13.196710441202672</v>
      </c>
      <c r="M29" s="72">
        <f>$M$111</f>
        <v>13.196710441202672</v>
      </c>
      <c r="N29" s="74">
        <f>$M$111</f>
        <v>13.196710441202672</v>
      </c>
    </row>
    <row r="30" spans="1:14" ht="14.25">
      <c r="A30" s="1"/>
      <c r="B30" s="1" t="s">
        <v>105</v>
      </c>
      <c r="C30" s="1"/>
      <c r="D30" s="1"/>
      <c r="E30" s="1"/>
      <c r="F30" s="32">
        <v>0</v>
      </c>
      <c r="G30" s="1" t="s">
        <v>11</v>
      </c>
      <c r="H30" s="134">
        <v>6.55</v>
      </c>
      <c r="I30" s="1" t="s">
        <v>150</v>
      </c>
      <c r="J30" s="1"/>
      <c r="K30" s="72">
        <f>$F$30*$H$30</f>
        <v>0</v>
      </c>
      <c r="L30" s="72">
        <f>$F$30*$H$30</f>
        <v>0</v>
      </c>
      <c r="M30" s="72">
        <f>$F$30*$H$30</f>
        <v>0</v>
      </c>
      <c r="N30" s="74">
        <f>$F$30*$H$30</f>
        <v>0</v>
      </c>
    </row>
    <row r="31" spans="1:14" ht="14.25">
      <c r="A31" s="1"/>
      <c r="B31" s="1" t="s">
        <v>108</v>
      </c>
      <c r="C31" s="1"/>
      <c r="D31" s="1"/>
      <c r="E31" s="1"/>
      <c r="F31" s="1"/>
      <c r="G31" s="1"/>
      <c r="H31" s="1"/>
      <c r="I31" s="1"/>
      <c r="J31" s="1"/>
      <c r="K31" s="72">
        <v>8</v>
      </c>
      <c r="L31" s="72">
        <v>9</v>
      </c>
      <c r="M31" s="72">
        <v>10</v>
      </c>
      <c r="N31" s="28">
        <v>10</v>
      </c>
    </row>
    <row r="32" spans="1:14" ht="14.25">
      <c r="A32" s="1"/>
      <c r="B32" s="1" t="s">
        <v>110</v>
      </c>
      <c r="C32" s="1"/>
      <c r="D32" s="1"/>
      <c r="E32" s="1"/>
      <c r="F32" s="16">
        <v>7</v>
      </c>
      <c r="G32" s="1" t="s">
        <v>7</v>
      </c>
      <c r="H32" s="1"/>
      <c r="I32" s="17">
        <v>0.09</v>
      </c>
      <c r="J32" s="1"/>
      <c r="K32" s="73">
        <f>SUM(K14:K31)*$I32*($F32/12)</f>
        <v>12.923814269316987</v>
      </c>
      <c r="L32" s="73">
        <f>SUM(L14:L31)*$I32*($F32/12)</f>
        <v>15.106525807778526</v>
      </c>
      <c r="M32" s="73">
        <f>SUM(M14:M31)*$I32*($F32/12)</f>
        <v>18.377968115470832</v>
      </c>
      <c r="N32" s="84">
        <f>SUM(N14:N31)*$I32*($F32/12)</f>
        <v>18.377968115470832</v>
      </c>
    </row>
    <row r="33" spans="1:14" ht="5.25" customHeight="1">
      <c r="A33" s="1"/>
      <c r="B33" s="1"/>
      <c r="C33" s="1"/>
      <c r="D33" s="1"/>
      <c r="E33" s="1"/>
      <c r="F33" s="16"/>
      <c r="G33" s="1"/>
      <c r="H33" s="1"/>
      <c r="I33" s="17"/>
      <c r="J33" s="1"/>
      <c r="K33" s="12"/>
      <c r="L33" s="12"/>
      <c r="M33" s="12"/>
      <c r="N33" s="27"/>
    </row>
    <row r="34" spans="1:14" ht="12.75">
      <c r="A34" s="13" t="s">
        <v>8</v>
      </c>
      <c r="B34" s="1"/>
      <c r="C34" s="1"/>
      <c r="D34" s="1"/>
      <c r="E34" s="1"/>
      <c r="G34" s="18" t="s">
        <v>9</v>
      </c>
      <c r="H34" s="18"/>
      <c r="I34" s="1"/>
      <c r="J34" s="1"/>
      <c r="K34" s="14">
        <f>SUM(K14:K32)</f>
        <v>259.0917051134501</v>
      </c>
      <c r="L34" s="14">
        <f>SUM(L14:L32)</f>
        <v>302.84987452736954</v>
      </c>
      <c r="M34" s="14">
        <f>SUM(M14:M32)</f>
        <v>368.4345036482486</v>
      </c>
      <c r="N34" s="88">
        <f>SUM(N14:N32)</f>
        <v>368.4345036482486</v>
      </c>
    </row>
    <row r="35" spans="1:14" ht="12.75">
      <c r="A35" s="1"/>
      <c r="B35" s="1"/>
      <c r="C35" s="1"/>
      <c r="D35" s="1"/>
      <c r="E35" s="1"/>
      <c r="G35" s="18" t="s">
        <v>172</v>
      </c>
      <c r="H35" s="18"/>
      <c r="I35" s="1"/>
      <c r="J35" s="1"/>
      <c r="K35" s="2">
        <f>+K34/K9</f>
        <v>1.2954585255672504</v>
      </c>
      <c r="L35" s="2">
        <f>+L34/L9</f>
        <v>1.164807209720652</v>
      </c>
      <c r="M35" s="2">
        <f>+M34/M9</f>
        <v>1.2281150121608286</v>
      </c>
      <c r="N35" s="89">
        <f>+N34/N9</f>
        <v>1.0526700104235676</v>
      </c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4"/>
      <c r="L36" s="14"/>
      <c r="M36" s="14"/>
      <c r="N36" s="27"/>
    </row>
    <row r="37" spans="1:14" ht="12.75">
      <c r="A37" s="13" t="s">
        <v>10</v>
      </c>
      <c r="B37" s="1"/>
      <c r="C37" s="1"/>
      <c r="D37" s="1"/>
      <c r="E37" s="1"/>
      <c r="F37" s="1"/>
      <c r="G37" s="1"/>
      <c r="H37" s="1"/>
      <c r="I37" s="1"/>
      <c r="J37" s="1"/>
      <c r="K37" s="14"/>
      <c r="L37" s="14"/>
      <c r="M37" s="14"/>
      <c r="N37" s="27"/>
    </row>
    <row r="38" spans="1:14" ht="14.25">
      <c r="A38" s="1"/>
      <c r="B38" s="1" t="s">
        <v>111</v>
      </c>
      <c r="C38" s="1"/>
      <c r="D38" s="1"/>
      <c r="E38" s="1"/>
      <c r="F38" s="131">
        <v>3.6</v>
      </c>
      <c r="G38" s="1" t="s">
        <v>11</v>
      </c>
      <c r="H38" s="1"/>
      <c r="I38" s="132">
        <v>13.5</v>
      </c>
      <c r="J38" s="1" t="s">
        <v>23</v>
      </c>
      <c r="K38" s="85">
        <f>+$F$38*$I$38</f>
        <v>48.6</v>
      </c>
      <c r="L38" s="85">
        <f>+$F$38*$I$38</f>
        <v>48.6</v>
      </c>
      <c r="M38" s="85">
        <f>+$F$38*$I$38</f>
        <v>48.6</v>
      </c>
      <c r="N38" s="88">
        <f>+$F$38*$I$38</f>
        <v>48.6</v>
      </c>
    </row>
    <row r="39" spans="1:14" ht="14.25">
      <c r="A39" s="1"/>
      <c r="B39" s="1" t="s">
        <v>113</v>
      </c>
      <c r="C39" s="1"/>
      <c r="D39" s="1"/>
      <c r="E39" s="1"/>
      <c r="F39" s="1"/>
      <c r="G39" s="1"/>
      <c r="H39" s="1"/>
      <c r="I39" s="1"/>
      <c r="J39" s="1"/>
      <c r="K39" s="85">
        <f>$I$111</f>
        <v>60.372184375</v>
      </c>
      <c r="L39" s="85">
        <f>$I$111</f>
        <v>60.372184375</v>
      </c>
      <c r="M39" s="85">
        <f>$I$111</f>
        <v>60.372184375</v>
      </c>
      <c r="N39" s="71">
        <f>$I$111</f>
        <v>60.372184375</v>
      </c>
    </row>
    <row r="40" spans="1:14" ht="14.25">
      <c r="A40" s="1"/>
      <c r="B40" s="1" t="s">
        <v>114</v>
      </c>
      <c r="C40" s="1"/>
      <c r="D40" s="1"/>
      <c r="E40" s="1"/>
      <c r="F40" s="1" t="s">
        <v>12</v>
      </c>
      <c r="G40" s="1"/>
      <c r="H40" s="1"/>
      <c r="I40" s="1"/>
      <c r="J40" s="1"/>
      <c r="K40" s="85">
        <v>94.82</v>
      </c>
      <c r="L40" s="85">
        <v>123.5</v>
      </c>
      <c r="M40" s="85">
        <v>156.88</v>
      </c>
      <c r="N40" s="28">
        <v>200</v>
      </c>
    </row>
    <row r="41" spans="1:14" ht="14.25">
      <c r="A41" s="1"/>
      <c r="B41" s="1" t="s">
        <v>115</v>
      </c>
      <c r="C41" s="1"/>
      <c r="D41" s="1"/>
      <c r="E41" s="1"/>
      <c r="F41" s="21">
        <v>0.05</v>
      </c>
      <c r="G41" s="1" t="s">
        <v>25</v>
      </c>
      <c r="H41" s="1"/>
      <c r="I41" s="1"/>
      <c r="J41" s="1"/>
      <c r="K41" s="86">
        <f>F41*K11</f>
        <v>100</v>
      </c>
      <c r="L41" s="86">
        <f>F41*L11</f>
        <v>130</v>
      </c>
      <c r="M41" s="86">
        <f>F41*M11</f>
        <v>150</v>
      </c>
      <c r="N41" s="90">
        <f>F41*N11</f>
        <v>175</v>
      </c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87"/>
      <c r="L42" s="87"/>
      <c r="M42" s="87"/>
      <c r="N42" s="27"/>
    </row>
    <row r="43" spans="1:14" ht="12.75">
      <c r="A43" s="13" t="s">
        <v>13</v>
      </c>
      <c r="B43" s="1"/>
      <c r="C43" s="1"/>
      <c r="D43" s="1"/>
      <c r="E43" s="1"/>
      <c r="F43" s="1"/>
      <c r="G43" s="1"/>
      <c r="H43" s="1"/>
      <c r="I43" s="1"/>
      <c r="J43" s="1"/>
      <c r="K43" s="85">
        <f>SUM(K38:K42)</f>
        <v>303.79218437500003</v>
      </c>
      <c r="L43" s="85">
        <f>SUM(L38:L42)</f>
        <v>362.472184375</v>
      </c>
      <c r="M43" s="85">
        <f>SUM(M38:M42)</f>
        <v>415.852184375</v>
      </c>
      <c r="N43" s="71">
        <f>SUM(N38:N42)</f>
        <v>483.972184375</v>
      </c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85"/>
      <c r="L44" s="85"/>
      <c r="M44" s="85"/>
      <c r="N44" s="27"/>
    </row>
    <row r="45" spans="1:14" ht="12.75">
      <c r="A45" s="13" t="s">
        <v>14</v>
      </c>
      <c r="B45" s="1"/>
      <c r="C45" s="1"/>
      <c r="D45" s="1"/>
      <c r="E45" s="1"/>
      <c r="F45" s="1"/>
      <c r="G45" s="18" t="s">
        <v>9</v>
      </c>
      <c r="H45" s="18"/>
      <c r="I45" s="1"/>
      <c r="J45" s="1"/>
      <c r="K45" s="85">
        <f>+K34+K43</f>
        <v>562.8838894884501</v>
      </c>
      <c r="L45" s="85">
        <f>+L34+L43</f>
        <v>665.3220589023695</v>
      </c>
      <c r="M45" s="85">
        <f>+M34+M43</f>
        <v>784.2866880232486</v>
      </c>
      <c r="N45" s="71">
        <f>+N34+N43</f>
        <v>852.4066880232485</v>
      </c>
    </row>
    <row r="46" spans="1:14" ht="12.75">
      <c r="A46" s="13"/>
      <c r="B46" s="1"/>
      <c r="C46" s="1"/>
      <c r="D46" s="1"/>
      <c r="E46" s="1"/>
      <c r="F46" s="1"/>
      <c r="G46" s="18" t="s">
        <v>172</v>
      </c>
      <c r="H46" s="18"/>
      <c r="I46" s="1"/>
      <c r="J46" s="1"/>
      <c r="K46" s="85">
        <f>+K45/K9</f>
        <v>2.8144194474422504</v>
      </c>
      <c r="L46" s="85">
        <f>+L45/L9</f>
        <v>2.558930995778344</v>
      </c>
      <c r="M46" s="85">
        <f>+M45/M9</f>
        <v>2.6142889600774954</v>
      </c>
      <c r="N46" s="71">
        <f>+N45/N9</f>
        <v>2.4354476800664244</v>
      </c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85"/>
      <c r="L47" s="85"/>
      <c r="M47" s="85"/>
      <c r="N47" s="27"/>
    </row>
    <row r="48" spans="1:14" ht="12.75">
      <c r="A48" s="13" t="s">
        <v>15</v>
      </c>
      <c r="B48" s="1"/>
      <c r="C48" s="1"/>
      <c r="D48" s="1"/>
      <c r="E48" s="1"/>
      <c r="F48" s="1"/>
      <c r="G48" s="1"/>
      <c r="H48" s="1"/>
      <c r="I48" s="1"/>
      <c r="J48" s="1"/>
      <c r="K48" s="85">
        <f>+K11-K34</f>
        <v>1740.9082948865498</v>
      </c>
      <c r="L48" s="85">
        <f>+L11-L34</f>
        <v>2297.1501254726304</v>
      </c>
      <c r="M48" s="85">
        <f>+M11-M34</f>
        <v>2631.5654963517513</v>
      </c>
      <c r="N48" s="71">
        <f>+N11-N34</f>
        <v>3131.5654963517513</v>
      </c>
    </row>
    <row r="49" spans="1:14" ht="12.75">
      <c r="A49" s="13" t="s">
        <v>16</v>
      </c>
      <c r="B49" s="1"/>
      <c r="C49" s="1"/>
      <c r="D49" s="1"/>
      <c r="E49" s="1"/>
      <c r="F49" s="1"/>
      <c r="G49" s="1"/>
      <c r="H49" s="1"/>
      <c r="I49" s="1"/>
      <c r="J49" s="1"/>
      <c r="K49" s="85">
        <f>+K11-K45</f>
        <v>1437.1161105115498</v>
      </c>
      <c r="L49" s="85">
        <f>+L11-L45</f>
        <v>1934.6779410976305</v>
      </c>
      <c r="M49" s="85">
        <f>+M11-M45</f>
        <v>2215.7133119767514</v>
      </c>
      <c r="N49" s="71">
        <f>+N11-N45</f>
        <v>2647.5933119767515</v>
      </c>
    </row>
    <row r="50" spans="1:14" ht="14.25">
      <c r="A50" s="13" t="s">
        <v>143</v>
      </c>
      <c r="B50" s="1"/>
      <c r="C50" s="1"/>
      <c r="D50" s="1"/>
      <c r="E50" s="1"/>
      <c r="F50" s="1"/>
      <c r="G50" s="1"/>
      <c r="H50" s="1"/>
      <c r="I50" s="1"/>
      <c r="J50" s="1"/>
      <c r="K50" s="85">
        <f>K38+K41+K49</f>
        <v>1585.7161105115497</v>
      </c>
      <c r="L50" s="85">
        <f>L38+L41+L49</f>
        <v>2113.2779410976304</v>
      </c>
      <c r="M50" s="85">
        <f>M38+M41+M49</f>
        <v>2414.3133119767513</v>
      </c>
      <c r="N50" s="71">
        <f>N38+N41+N49</f>
        <v>2871.1933119767514</v>
      </c>
    </row>
    <row r="51" spans="1:14" ht="12.75">
      <c r="A51" s="13" t="s">
        <v>144</v>
      </c>
      <c r="B51" s="1"/>
      <c r="C51" s="1"/>
      <c r="D51" s="1"/>
      <c r="E51" s="1"/>
      <c r="F51" s="1"/>
      <c r="G51" s="1"/>
      <c r="H51" s="1"/>
      <c r="I51" s="1"/>
      <c r="J51" s="1"/>
      <c r="K51" s="85">
        <f>K40+K49</f>
        <v>1531.9361105115497</v>
      </c>
      <c r="L51" s="85">
        <f>L40+L49</f>
        <v>2058.1779410976305</v>
      </c>
      <c r="M51" s="85">
        <f>M40+M49</f>
        <v>2372.5933119767515</v>
      </c>
      <c r="N51" s="71">
        <f>N40+N49</f>
        <v>2847.5933119767515</v>
      </c>
    </row>
    <row r="52" spans="1:14" ht="4.5" customHeight="1">
      <c r="A52" s="1"/>
      <c r="B52" s="10"/>
      <c r="C52" s="10"/>
      <c r="D52" s="10"/>
      <c r="E52" s="10"/>
      <c r="F52" s="10"/>
      <c r="G52" s="10"/>
      <c r="H52" s="10"/>
      <c r="I52" s="10"/>
      <c r="J52" s="10"/>
      <c r="K52" s="123"/>
      <c r="L52" s="123"/>
      <c r="M52" s="123"/>
      <c r="N52" s="10"/>
    </row>
    <row r="53" spans="1:14" ht="9" customHeight="1">
      <c r="A53" s="1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  <c r="N53" s="7"/>
    </row>
    <row r="54" spans="1:14" ht="12.75" customHeight="1">
      <c r="A54" s="38" t="s">
        <v>92</v>
      </c>
      <c r="B54" s="7"/>
      <c r="C54" s="7"/>
      <c r="D54" s="122"/>
      <c r="E54" s="7"/>
      <c r="F54" s="7"/>
      <c r="G54" s="7"/>
      <c r="H54" s="7"/>
      <c r="I54" s="7"/>
      <c r="J54" s="7"/>
      <c r="K54" s="8"/>
      <c r="L54" s="8"/>
      <c r="M54" s="8"/>
      <c r="N54" s="7"/>
    </row>
    <row r="55" spans="2:14" ht="12" customHeight="1">
      <c r="B55" s="38" t="s">
        <v>95</v>
      </c>
      <c r="C55" s="7"/>
      <c r="D55" s="7"/>
      <c r="E55" s="7"/>
      <c r="F55" s="7"/>
      <c r="G55" s="7"/>
      <c r="H55" s="7"/>
      <c r="I55" s="7"/>
      <c r="J55" s="7"/>
      <c r="K55" s="8"/>
      <c r="L55" s="8"/>
      <c r="M55" s="8"/>
      <c r="N55" s="7"/>
    </row>
    <row r="56" spans="1:14" ht="12" customHeight="1">
      <c r="A56" s="38" t="s">
        <v>93</v>
      </c>
      <c r="C56" s="7"/>
      <c r="D56" s="124"/>
      <c r="E56" s="7"/>
      <c r="F56" s="7"/>
      <c r="G56" s="7"/>
      <c r="H56" s="7"/>
      <c r="I56" s="7"/>
      <c r="J56" s="7"/>
      <c r="K56" s="8"/>
      <c r="L56" s="8"/>
      <c r="M56" s="8"/>
      <c r="N56" s="7"/>
    </row>
    <row r="57" spans="1:14" ht="12" customHeight="1">
      <c r="A57" s="38"/>
      <c r="B57" s="38" t="s">
        <v>96</v>
      </c>
      <c r="C57" s="7"/>
      <c r="D57" s="7"/>
      <c r="E57" s="7"/>
      <c r="F57" s="7"/>
      <c r="G57" s="7"/>
      <c r="H57" s="7"/>
      <c r="I57" s="7"/>
      <c r="J57" s="7"/>
      <c r="K57" s="8"/>
      <c r="L57" s="8"/>
      <c r="M57" s="8"/>
      <c r="N57" s="7"/>
    </row>
    <row r="58" spans="1:14" ht="11.25" customHeight="1">
      <c r="A58" s="38" t="s">
        <v>94</v>
      </c>
      <c r="B58" s="7"/>
      <c r="C58" s="7"/>
      <c r="D58" s="125"/>
      <c r="E58" s="7"/>
      <c r="F58" s="7"/>
      <c r="G58" s="7"/>
      <c r="H58" s="7"/>
      <c r="I58" s="7"/>
      <c r="J58" s="7"/>
      <c r="K58" s="8"/>
      <c r="L58" s="8"/>
      <c r="M58" s="8"/>
      <c r="N58" s="7"/>
    </row>
    <row r="59" spans="1:14" ht="11.25" customHeight="1">
      <c r="A59" s="137" t="s">
        <v>152</v>
      </c>
      <c r="B59" s="7"/>
      <c r="C59" s="7"/>
      <c r="D59" s="126"/>
      <c r="E59" s="7"/>
      <c r="F59" s="7"/>
      <c r="G59" s="7"/>
      <c r="H59" s="7"/>
      <c r="I59" s="7"/>
      <c r="J59" s="7"/>
      <c r="K59" s="8"/>
      <c r="L59" s="8"/>
      <c r="M59" s="8"/>
      <c r="N59" s="7"/>
    </row>
    <row r="60" spans="1:14" ht="11.25" customHeight="1">
      <c r="A60" s="137" t="s">
        <v>154</v>
      </c>
      <c r="B60" s="7"/>
      <c r="C60" s="7"/>
      <c r="D60" s="126"/>
      <c r="E60" s="7"/>
      <c r="F60" s="7"/>
      <c r="G60" s="7"/>
      <c r="H60" s="7"/>
      <c r="I60" s="7"/>
      <c r="J60" s="7"/>
      <c r="K60" s="8"/>
      <c r="L60" s="8"/>
      <c r="M60" s="8"/>
      <c r="N60" s="7"/>
    </row>
    <row r="61" spans="1:14" ht="11.25" customHeight="1">
      <c r="A61" s="55"/>
      <c r="B61" s="7"/>
      <c r="C61" s="7"/>
      <c r="D61" s="126"/>
      <c r="E61" s="7"/>
      <c r="F61" s="7"/>
      <c r="G61" s="7"/>
      <c r="H61" s="7"/>
      <c r="I61" s="7"/>
      <c r="J61" s="7"/>
      <c r="K61" s="8"/>
      <c r="L61" s="8"/>
      <c r="M61" s="8"/>
      <c r="N61" s="7"/>
    </row>
    <row r="62" spans="1:14" ht="14.25">
      <c r="A62" s="20">
        <v>1</v>
      </c>
      <c r="B62" s="24" t="s">
        <v>155</v>
      </c>
      <c r="C62" s="1"/>
      <c r="D62" s="1"/>
      <c r="E62" s="1"/>
      <c r="F62" s="1"/>
      <c r="G62" s="1"/>
      <c r="H62" s="1"/>
      <c r="I62" s="1"/>
      <c r="J62" s="1"/>
      <c r="K62" s="2"/>
      <c r="L62" s="2"/>
      <c r="M62" s="2"/>
      <c r="N62" s="1"/>
    </row>
    <row r="63" spans="1:14" ht="14.25">
      <c r="A63" s="20">
        <v>2</v>
      </c>
      <c r="B63" s="24" t="s">
        <v>37</v>
      </c>
      <c r="C63" s="24"/>
      <c r="D63" s="1"/>
      <c r="E63" s="1"/>
      <c r="F63" s="1"/>
      <c r="G63" s="1"/>
      <c r="H63" s="1"/>
      <c r="I63" s="1"/>
      <c r="J63" s="1"/>
      <c r="K63" s="2"/>
      <c r="L63" s="2"/>
      <c r="M63" s="2"/>
      <c r="N63" s="1"/>
    </row>
    <row r="64" spans="1:14" ht="14.25">
      <c r="A64" s="20"/>
      <c r="B64" s="24"/>
      <c r="C64" s="24" t="s">
        <v>34</v>
      </c>
      <c r="D64" s="1"/>
      <c r="E64" s="1"/>
      <c r="F64" s="1"/>
      <c r="G64" s="1"/>
      <c r="H64" s="1"/>
      <c r="I64" s="1"/>
      <c r="J64" s="1"/>
      <c r="K64" s="2"/>
      <c r="L64" s="2"/>
      <c r="M64" s="2"/>
      <c r="N64" s="1"/>
    </row>
    <row r="65" spans="1:14" ht="14.25">
      <c r="A65" s="20">
        <v>3</v>
      </c>
      <c r="B65" s="24" t="s">
        <v>36</v>
      </c>
      <c r="C65" s="24"/>
      <c r="D65" s="1"/>
      <c r="E65" s="1"/>
      <c r="F65" s="1"/>
      <c r="G65" s="1"/>
      <c r="H65" s="1"/>
      <c r="I65" s="1"/>
      <c r="J65" s="1"/>
      <c r="K65" s="2"/>
      <c r="L65" s="2"/>
      <c r="M65" s="2"/>
      <c r="N65" s="1"/>
    </row>
    <row r="66" spans="1:14" ht="14.25">
      <c r="A66" s="20"/>
      <c r="B66" s="24"/>
      <c r="C66" s="24" t="s">
        <v>97</v>
      </c>
      <c r="D66" s="1"/>
      <c r="E66" s="1"/>
      <c r="F66" s="1"/>
      <c r="G66" s="1"/>
      <c r="H66" s="1"/>
      <c r="I66" s="1"/>
      <c r="J66" s="1"/>
      <c r="K66" s="2"/>
      <c r="L66" s="2"/>
      <c r="M66" s="2"/>
      <c r="N66" s="1"/>
    </row>
    <row r="67" spans="1:14" ht="12.75">
      <c r="A67" s="38"/>
      <c r="B67" s="24" t="s">
        <v>98</v>
      </c>
      <c r="C67" s="38"/>
      <c r="D67" s="38"/>
      <c r="E67" s="38"/>
      <c r="F67" s="38"/>
      <c r="G67" s="38"/>
      <c r="H67" s="38"/>
      <c r="I67" s="38"/>
      <c r="J67" s="38"/>
      <c r="K67" s="42"/>
      <c r="L67" s="42"/>
      <c r="M67" s="42"/>
      <c r="N67" s="1"/>
    </row>
    <row r="68" spans="1:14" ht="12.75">
      <c r="A68" s="38"/>
      <c r="B68" s="24" t="s">
        <v>87</v>
      </c>
      <c r="C68" s="38"/>
      <c r="D68" s="38"/>
      <c r="E68" s="38"/>
      <c r="F68" s="38"/>
      <c r="G68" s="38"/>
      <c r="H68" s="38"/>
      <c r="I68" s="38"/>
      <c r="J68" s="38"/>
      <c r="K68" s="42"/>
      <c r="L68" s="42"/>
      <c r="M68" s="42"/>
      <c r="N68" s="1"/>
    </row>
    <row r="69" spans="1:14" ht="12.75">
      <c r="A69" s="38"/>
      <c r="B69" s="24" t="s">
        <v>88</v>
      </c>
      <c r="C69" s="38"/>
      <c r="D69" s="38"/>
      <c r="E69" s="114">
        <v>386</v>
      </c>
      <c r="F69" s="81" t="s">
        <v>89</v>
      </c>
      <c r="G69" s="24"/>
      <c r="H69" s="114">
        <v>854</v>
      </c>
      <c r="I69" s="81" t="s">
        <v>90</v>
      </c>
      <c r="J69" s="81"/>
      <c r="K69" s="82"/>
      <c r="L69" s="115">
        <v>568</v>
      </c>
      <c r="M69" s="83" t="s">
        <v>5</v>
      </c>
      <c r="N69" s="1"/>
    </row>
    <row r="70" spans="1:14" ht="14.25">
      <c r="A70" s="20">
        <v>4</v>
      </c>
      <c r="B70" s="24" t="s">
        <v>78</v>
      </c>
      <c r="C70" s="1"/>
      <c r="D70" s="1"/>
      <c r="E70" s="1"/>
      <c r="F70" s="1"/>
      <c r="G70" s="1"/>
      <c r="H70" s="1"/>
      <c r="I70" s="1"/>
      <c r="J70" s="1"/>
      <c r="K70" s="2"/>
      <c r="L70" s="2"/>
      <c r="M70" s="2"/>
      <c r="N70" s="1"/>
    </row>
    <row r="71" spans="1:14" ht="14.25">
      <c r="A71" s="20"/>
      <c r="B71" s="24"/>
      <c r="C71" s="24" t="s">
        <v>79</v>
      </c>
      <c r="D71" s="1"/>
      <c r="E71" s="1"/>
      <c r="F71" s="1"/>
      <c r="G71" s="1"/>
      <c r="H71" s="1"/>
      <c r="I71" s="1"/>
      <c r="J71" s="1"/>
      <c r="K71" s="2"/>
      <c r="L71" s="2"/>
      <c r="M71" s="2"/>
      <c r="N71" s="1"/>
    </row>
    <row r="72" spans="1:14" ht="14.25">
      <c r="A72" s="20"/>
      <c r="B72" s="24"/>
      <c r="C72" s="24" t="s">
        <v>80</v>
      </c>
      <c r="D72" s="1"/>
      <c r="E72" s="1"/>
      <c r="F72" s="1"/>
      <c r="G72" s="1"/>
      <c r="H72" s="1"/>
      <c r="I72" s="1"/>
      <c r="J72" s="1"/>
      <c r="K72" s="2"/>
      <c r="L72" s="2"/>
      <c r="M72" s="2"/>
      <c r="N72" s="1"/>
    </row>
    <row r="73" spans="1:14" ht="14.25">
      <c r="A73" s="20"/>
      <c r="B73" s="24"/>
      <c r="C73" s="24" t="s">
        <v>86</v>
      </c>
      <c r="D73" s="1"/>
      <c r="E73" s="1"/>
      <c r="F73" s="1"/>
      <c r="G73" s="1"/>
      <c r="H73" s="1"/>
      <c r="I73" s="1"/>
      <c r="J73" s="1"/>
      <c r="K73" s="2"/>
      <c r="L73" s="2"/>
      <c r="M73" s="2"/>
      <c r="N73" s="1"/>
    </row>
    <row r="74" spans="1:14" ht="14.25">
      <c r="A74" s="20">
        <v>5</v>
      </c>
      <c r="B74" s="24" t="s">
        <v>118</v>
      </c>
      <c r="C74" s="1"/>
      <c r="D74" s="1"/>
      <c r="E74" s="1"/>
      <c r="F74" s="1"/>
      <c r="G74" s="1"/>
      <c r="H74" s="1"/>
      <c r="I74" s="1"/>
      <c r="J74" s="1"/>
      <c r="K74" s="2"/>
      <c r="L74" s="2"/>
      <c r="M74" s="2"/>
      <c r="N74" s="1"/>
    </row>
    <row r="75" spans="1:14" ht="12.75">
      <c r="A75" s="1"/>
      <c r="B75" s="1"/>
      <c r="C75" s="24" t="s">
        <v>84</v>
      </c>
      <c r="D75" s="1"/>
      <c r="E75" s="1"/>
      <c r="F75" s="1"/>
      <c r="G75" s="1"/>
      <c r="H75" s="1"/>
      <c r="I75" s="1"/>
      <c r="J75" s="1"/>
      <c r="K75" s="2"/>
      <c r="L75" s="2"/>
      <c r="M75" s="2"/>
      <c r="N75" s="1"/>
    </row>
    <row r="76" spans="1:14" ht="12.75">
      <c r="A76" s="1"/>
      <c r="B76" s="1"/>
      <c r="C76" s="24" t="s">
        <v>166</v>
      </c>
      <c r="D76" s="1"/>
      <c r="E76" s="1"/>
      <c r="F76" s="1"/>
      <c r="G76" s="1"/>
      <c r="H76" s="1"/>
      <c r="I76" s="1"/>
      <c r="J76" s="1"/>
      <c r="K76" s="2"/>
      <c r="L76" s="2"/>
      <c r="M76" s="2"/>
      <c r="N76" s="1"/>
    </row>
    <row r="77" spans="1:14" ht="12.75">
      <c r="A77" s="1"/>
      <c r="B77" s="1"/>
      <c r="C77" s="13" t="s">
        <v>167</v>
      </c>
      <c r="D77" s="1"/>
      <c r="E77" s="1"/>
      <c r="F77" s="1"/>
      <c r="G77" s="1"/>
      <c r="H77" s="1"/>
      <c r="I77" s="1"/>
      <c r="J77" s="1"/>
      <c r="K77" s="2"/>
      <c r="L77" s="2"/>
      <c r="M77" s="2"/>
      <c r="N77" s="1"/>
    </row>
    <row r="78" spans="1:14" ht="12.75">
      <c r="A78" s="1"/>
      <c r="B78" s="1"/>
      <c r="C78" s="24" t="s">
        <v>169</v>
      </c>
      <c r="D78" s="1"/>
      <c r="E78" s="1"/>
      <c r="F78" s="1"/>
      <c r="G78" s="1"/>
      <c r="H78" s="1"/>
      <c r="I78" s="1"/>
      <c r="J78" s="1"/>
      <c r="K78" s="2"/>
      <c r="L78" s="2"/>
      <c r="M78" s="2"/>
      <c r="N78" s="1"/>
    </row>
    <row r="79" spans="1:14" ht="12.75">
      <c r="A79" s="1"/>
      <c r="B79" s="1"/>
      <c r="C79" s="24" t="s">
        <v>171</v>
      </c>
      <c r="D79" s="1"/>
      <c r="E79" s="1"/>
      <c r="F79" s="1"/>
      <c r="G79" s="1"/>
      <c r="H79" s="1"/>
      <c r="I79" s="1"/>
      <c r="J79" s="1"/>
      <c r="K79" s="2"/>
      <c r="L79" s="2"/>
      <c r="M79" s="2"/>
      <c r="N79" s="1"/>
    </row>
    <row r="80" spans="1:14" ht="12.75">
      <c r="A80" s="1"/>
      <c r="B80" s="1"/>
      <c r="C80" s="24" t="s">
        <v>170</v>
      </c>
      <c r="D80" s="1"/>
      <c r="E80" s="1"/>
      <c r="F80" s="1"/>
      <c r="G80" s="1"/>
      <c r="H80" s="1"/>
      <c r="I80" s="1"/>
      <c r="J80" s="1"/>
      <c r="K80" s="2"/>
      <c r="L80" s="2"/>
      <c r="M80" s="2"/>
      <c r="N80" s="1"/>
    </row>
    <row r="81" spans="1:14" ht="12.75">
      <c r="A81" s="1"/>
      <c r="B81" s="1"/>
      <c r="C81" s="137" t="s">
        <v>168</v>
      </c>
      <c r="D81" s="1"/>
      <c r="E81" s="1"/>
      <c r="F81" s="1"/>
      <c r="G81" s="1"/>
      <c r="H81" s="1"/>
      <c r="I81" s="1"/>
      <c r="J81" s="1"/>
      <c r="K81" s="2"/>
      <c r="L81" s="2"/>
      <c r="M81" s="2"/>
      <c r="N81" s="1"/>
    </row>
    <row r="82" spans="1:14" ht="12.75">
      <c r="A82" s="1"/>
      <c r="B82" s="1"/>
      <c r="C82" s="24" t="s">
        <v>85</v>
      </c>
      <c r="D82" s="1"/>
      <c r="E82" s="1"/>
      <c r="F82" s="1"/>
      <c r="G82" s="1"/>
      <c r="H82" s="1"/>
      <c r="I82" s="1"/>
      <c r="J82" s="1"/>
      <c r="K82" s="2"/>
      <c r="L82" s="2"/>
      <c r="M82" s="2"/>
      <c r="N82" s="37"/>
    </row>
    <row r="83" spans="1:14" ht="14.25">
      <c r="A83" s="20">
        <v>6</v>
      </c>
      <c r="B83" s="24" t="s">
        <v>100</v>
      </c>
      <c r="C83" s="1"/>
      <c r="D83" s="1"/>
      <c r="E83" s="1"/>
      <c r="F83" s="1"/>
      <c r="G83" s="1"/>
      <c r="H83" s="1"/>
      <c r="I83" s="1"/>
      <c r="J83" s="1"/>
      <c r="K83" s="2"/>
      <c r="L83" s="2"/>
      <c r="M83" s="2"/>
      <c r="N83" s="42"/>
    </row>
    <row r="84" spans="1:14" ht="12.75">
      <c r="A84" s="1"/>
      <c r="B84" s="1"/>
      <c r="C84" s="24" t="s">
        <v>99</v>
      </c>
      <c r="D84" s="1"/>
      <c r="E84" s="1"/>
      <c r="F84" s="1"/>
      <c r="G84" s="1"/>
      <c r="H84" s="1"/>
      <c r="I84" s="1"/>
      <c r="J84" s="1"/>
      <c r="K84" s="2"/>
      <c r="L84" s="2"/>
      <c r="M84" s="2"/>
      <c r="N84" s="42"/>
    </row>
    <row r="85" spans="1:14" ht="14.25">
      <c r="A85" s="20">
        <v>7</v>
      </c>
      <c r="B85" s="24" t="s">
        <v>102</v>
      </c>
      <c r="C85" s="24"/>
      <c r="D85" s="1"/>
      <c r="E85" s="1"/>
      <c r="F85" s="1"/>
      <c r="G85" s="1"/>
      <c r="H85" s="1"/>
      <c r="I85" s="1"/>
      <c r="J85" s="1"/>
      <c r="K85" s="2"/>
      <c r="L85" s="2"/>
      <c r="M85" s="2"/>
      <c r="N85" s="42"/>
    </row>
    <row r="86" spans="1:14" ht="14.25">
      <c r="A86" s="20">
        <v>8</v>
      </c>
      <c r="B86" s="24" t="s">
        <v>104</v>
      </c>
      <c r="C86" s="24"/>
      <c r="D86" s="1"/>
      <c r="E86" s="1"/>
      <c r="F86" s="1"/>
      <c r="G86" s="1"/>
      <c r="H86" s="1"/>
      <c r="I86" s="1"/>
      <c r="J86" s="1"/>
      <c r="K86" s="2"/>
      <c r="L86" s="2"/>
      <c r="M86" s="2"/>
      <c r="N86" s="42"/>
    </row>
    <row r="87" spans="1:14" ht="14.25">
      <c r="A87" s="20">
        <v>9</v>
      </c>
      <c r="B87" s="24" t="s">
        <v>153</v>
      </c>
      <c r="C87" s="24"/>
      <c r="D87" s="1"/>
      <c r="E87" s="1"/>
      <c r="F87" s="1"/>
      <c r="G87" s="1"/>
      <c r="H87" s="1"/>
      <c r="I87" s="1"/>
      <c r="J87" s="1"/>
      <c r="K87" s="2"/>
      <c r="L87" s="2"/>
      <c r="M87" s="2"/>
      <c r="N87" s="42"/>
    </row>
    <row r="88" spans="1:14" ht="14.25">
      <c r="A88" s="20">
        <v>10</v>
      </c>
      <c r="B88" s="24" t="s">
        <v>109</v>
      </c>
      <c r="C88" s="24"/>
      <c r="D88" s="1"/>
      <c r="E88" s="1"/>
      <c r="F88" s="1"/>
      <c r="G88" s="1"/>
      <c r="H88" s="1"/>
      <c r="I88" s="1"/>
      <c r="J88" s="1"/>
      <c r="K88" s="2"/>
      <c r="L88" s="2"/>
      <c r="M88" s="2"/>
      <c r="N88" s="42"/>
    </row>
    <row r="89" spans="1:14" ht="14.25">
      <c r="A89" s="20">
        <v>11</v>
      </c>
      <c r="B89" s="24" t="s">
        <v>156</v>
      </c>
      <c r="C89" s="24"/>
      <c r="D89" s="1"/>
      <c r="E89" s="1"/>
      <c r="F89" s="1"/>
      <c r="G89" s="1"/>
      <c r="H89" s="1"/>
      <c r="I89" s="1"/>
      <c r="J89" s="1"/>
      <c r="K89" s="2"/>
      <c r="L89" s="2"/>
      <c r="M89" s="2"/>
      <c r="N89" s="42"/>
    </row>
    <row r="90" spans="1:14" ht="14.25">
      <c r="A90" s="20">
        <v>12</v>
      </c>
      <c r="B90" s="24" t="s">
        <v>112</v>
      </c>
      <c r="C90" s="1"/>
      <c r="D90" s="1"/>
      <c r="E90" s="1"/>
      <c r="F90" s="1"/>
      <c r="G90" s="1"/>
      <c r="H90" s="1"/>
      <c r="I90" s="1"/>
      <c r="J90" s="1"/>
      <c r="K90" s="2"/>
      <c r="L90" s="2"/>
      <c r="M90" s="2"/>
      <c r="N90" s="42"/>
    </row>
    <row r="91" spans="1:14" ht="14.25">
      <c r="A91" s="20">
        <v>13</v>
      </c>
      <c r="B91" s="24" t="s">
        <v>173</v>
      </c>
      <c r="C91" s="1"/>
      <c r="D91" s="1"/>
      <c r="E91" s="1"/>
      <c r="F91" s="1"/>
      <c r="G91" s="1"/>
      <c r="H91" s="1"/>
      <c r="I91" s="1"/>
      <c r="J91" s="1"/>
      <c r="K91" s="2"/>
      <c r="L91" s="2"/>
      <c r="M91" s="2"/>
      <c r="N91" s="42"/>
    </row>
    <row r="92" spans="1:14" ht="14.25">
      <c r="A92" s="20">
        <v>14</v>
      </c>
      <c r="B92" s="24" t="s">
        <v>176</v>
      </c>
      <c r="C92" s="1"/>
      <c r="D92" s="1"/>
      <c r="E92" s="1"/>
      <c r="F92" s="1"/>
      <c r="G92" s="1"/>
      <c r="H92" s="1"/>
      <c r="I92" s="1"/>
      <c r="J92" s="1"/>
      <c r="K92" s="2"/>
      <c r="L92" s="2"/>
      <c r="M92" s="2"/>
      <c r="N92" s="42"/>
    </row>
    <row r="93" spans="1:14" ht="14.25">
      <c r="A93" s="20"/>
      <c r="B93" s="24"/>
      <c r="C93" s="154" t="s">
        <v>174</v>
      </c>
      <c r="D93" s="1"/>
      <c r="E93" s="1"/>
      <c r="F93" s="1"/>
      <c r="G93" s="1"/>
      <c r="H93" s="1"/>
      <c r="I93" s="1"/>
      <c r="J93" s="1"/>
      <c r="K93" s="2"/>
      <c r="L93" s="2"/>
      <c r="M93" s="2"/>
      <c r="N93" s="42"/>
    </row>
    <row r="94" spans="1:14" ht="14.25">
      <c r="A94" s="20"/>
      <c r="B94" s="24"/>
      <c r="C94" s="24" t="s">
        <v>175</v>
      </c>
      <c r="D94" s="1"/>
      <c r="E94" s="1"/>
      <c r="F94" s="1"/>
      <c r="G94" s="1"/>
      <c r="H94" s="1"/>
      <c r="I94" s="1"/>
      <c r="J94" s="1"/>
      <c r="K94" s="2"/>
      <c r="L94" s="2"/>
      <c r="M94" s="2"/>
      <c r="N94" s="42"/>
    </row>
    <row r="95" spans="1:14" ht="14.25">
      <c r="A95" s="20">
        <v>15</v>
      </c>
      <c r="B95" s="24" t="s">
        <v>116</v>
      </c>
      <c r="C95" s="1"/>
      <c r="D95" s="1"/>
      <c r="E95" s="1"/>
      <c r="F95" s="1"/>
      <c r="G95" s="1"/>
      <c r="H95" s="1"/>
      <c r="I95" s="1"/>
      <c r="J95" s="1"/>
      <c r="K95" s="2"/>
      <c r="L95" s="2"/>
      <c r="M95" s="2"/>
      <c r="N95" s="42"/>
    </row>
    <row r="96" spans="1:14" ht="14.25">
      <c r="A96" s="20">
        <v>16</v>
      </c>
      <c r="B96" s="24" t="s">
        <v>145</v>
      </c>
      <c r="C96" s="1"/>
      <c r="D96" s="1"/>
      <c r="E96" s="1"/>
      <c r="F96" s="1"/>
      <c r="G96" s="1"/>
      <c r="H96" s="1"/>
      <c r="I96" s="1"/>
      <c r="J96" s="1"/>
      <c r="K96" s="2"/>
      <c r="L96" s="2"/>
      <c r="M96" s="2"/>
      <c r="N96" s="42"/>
    </row>
    <row r="97" spans="1:14" ht="14.25">
      <c r="A97" s="20"/>
      <c r="B97" s="24"/>
      <c r="C97" s="24" t="s">
        <v>146</v>
      </c>
      <c r="D97" s="1"/>
      <c r="E97" s="1"/>
      <c r="F97" s="1"/>
      <c r="G97" s="1"/>
      <c r="H97" s="1"/>
      <c r="I97" s="1"/>
      <c r="J97" s="1"/>
      <c r="K97" s="2"/>
      <c r="L97" s="2"/>
      <c r="M97" s="2"/>
      <c r="N97" s="42"/>
    </row>
    <row r="98" spans="1:14" ht="12.75">
      <c r="A98" s="33"/>
      <c r="B98" s="33"/>
      <c r="C98" s="34"/>
      <c r="D98" s="33"/>
      <c r="E98" s="33"/>
      <c r="F98" s="33"/>
      <c r="G98" s="35" t="s">
        <v>44</v>
      </c>
      <c r="H98" s="33"/>
      <c r="I98" s="33"/>
      <c r="J98" s="33"/>
      <c r="K98" s="33"/>
      <c r="L98" s="36"/>
      <c r="M98" s="36"/>
      <c r="N98" s="42"/>
    </row>
    <row r="99" spans="1:14" ht="33.75">
      <c r="A99" s="38"/>
      <c r="B99" s="38"/>
      <c r="C99" s="38"/>
      <c r="D99" s="38"/>
      <c r="E99" s="39" t="s">
        <v>45</v>
      </c>
      <c r="F99" s="40" t="s">
        <v>46</v>
      </c>
      <c r="G99" s="39" t="s">
        <v>47</v>
      </c>
      <c r="H99" s="39"/>
      <c r="I99" s="41" t="s">
        <v>48</v>
      </c>
      <c r="J99" s="40" t="s">
        <v>49</v>
      </c>
      <c r="K99" s="40" t="s">
        <v>50</v>
      </c>
      <c r="M99" s="40" t="s">
        <v>51</v>
      </c>
      <c r="N99" s="42"/>
    </row>
    <row r="100" spans="1:14" ht="12.75">
      <c r="A100" s="38"/>
      <c r="B100" s="99" t="s">
        <v>52</v>
      </c>
      <c r="C100" s="99"/>
      <c r="D100" s="99"/>
      <c r="E100" s="100">
        <v>1</v>
      </c>
      <c r="F100" s="101">
        <v>15800</v>
      </c>
      <c r="G100" s="102">
        <v>750</v>
      </c>
      <c r="H100" s="43"/>
      <c r="I100" s="98">
        <f>'Machinery Costs'!J2</f>
        <v>2.8617749999999997</v>
      </c>
      <c r="J100" s="111">
        <v>8.5</v>
      </c>
      <c r="K100" s="96">
        <f>0.6*E100</f>
        <v>0.6</v>
      </c>
      <c r="L100" s="135">
        <f>(G100*E100)/J100</f>
        <v>88.23529411764706</v>
      </c>
      <c r="M100" s="96">
        <f>0.57*E100</f>
        <v>0.57</v>
      </c>
      <c r="N100" s="42"/>
    </row>
    <row r="101" spans="1:14" ht="12.75">
      <c r="A101" s="38"/>
      <c r="B101" s="103" t="s">
        <v>53</v>
      </c>
      <c r="C101" s="103"/>
      <c r="D101" s="103"/>
      <c r="E101" s="104">
        <v>1</v>
      </c>
      <c r="F101" s="105">
        <v>29400</v>
      </c>
      <c r="G101" s="106">
        <v>750</v>
      </c>
      <c r="H101" s="44"/>
      <c r="I101" s="98">
        <f>'Machinery Costs'!J3</f>
        <v>5.325075</v>
      </c>
      <c r="J101" s="112">
        <v>16.59</v>
      </c>
      <c r="K101" s="97">
        <f>0.32*E101</f>
        <v>0.32</v>
      </c>
      <c r="L101" s="136">
        <f>(G101*E101)/J101</f>
        <v>45.20795660036166</v>
      </c>
      <c r="M101" s="97">
        <f>0.57*E101</f>
        <v>0.57</v>
      </c>
      <c r="N101" s="42"/>
    </row>
    <row r="102" spans="1:14" ht="12.75">
      <c r="A102" s="38"/>
      <c r="B102" s="103" t="s">
        <v>54</v>
      </c>
      <c r="C102" s="103"/>
      <c r="D102" s="103"/>
      <c r="E102" s="104">
        <v>3</v>
      </c>
      <c r="F102" s="105">
        <v>18900</v>
      </c>
      <c r="G102" s="106">
        <v>1500</v>
      </c>
      <c r="H102" s="44"/>
      <c r="I102" s="98">
        <f>'Machinery Costs'!J4</f>
        <v>1.7116312500000002</v>
      </c>
      <c r="J102" s="112">
        <v>25.61</v>
      </c>
      <c r="K102" s="97">
        <f>0.1*E102</f>
        <v>0.30000000000000004</v>
      </c>
      <c r="L102" s="136">
        <f>(G102*E102)/J102</f>
        <v>175.7126122608356</v>
      </c>
      <c r="M102" s="97">
        <f>0.36*E102</f>
        <v>1.08</v>
      </c>
      <c r="N102" s="42"/>
    </row>
    <row r="103" spans="1:14" ht="12.75">
      <c r="A103" s="38"/>
      <c r="B103" s="103" t="s">
        <v>55</v>
      </c>
      <c r="C103" s="103"/>
      <c r="D103" s="103"/>
      <c r="E103" s="104">
        <v>1</v>
      </c>
      <c r="F103" s="105">
        <v>28400</v>
      </c>
      <c r="G103" s="106">
        <v>750</v>
      </c>
      <c r="H103" s="44"/>
      <c r="I103" s="98">
        <f>'Machinery Costs'!J5</f>
        <v>4.794866666666667</v>
      </c>
      <c r="J103" s="112">
        <v>9.33</v>
      </c>
      <c r="K103" s="97">
        <f>0.34*E103</f>
        <v>0.34</v>
      </c>
      <c r="L103" s="136">
        <f>(G103*E103)/J103</f>
        <v>80.38585209003216</v>
      </c>
      <c r="M103" s="97">
        <f>0.89*E103</f>
        <v>0.89</v>
      </c>
      <c r="N103" s="42"/>
    </row>
    <row r="104" spans="1:14" ht="12.75">
      <c r="A104" s="38"/>
      <c r="B104" s="103" t="s">
        <v>161</v>
      </c>
      <c r="C104" s="103"/>
      <c r="D104" s="103"/>
      <c r="E104" s="104">
        <v>1</v>
      </c>
      <c r="F104" s="105">
        <v>207000</v>
      </c>
      <c r="G104" s="106">
        <v>1500</v>
      </c>
      <c r="H104" s="44"/>
      <c r="I104" s="98">
        <f>'Machinery Costs'!J6</f>
        <v>19.382531249999996</v>
      </c>
      <c r="J104" s="139" t="s">
        <v>56</v>
      </c>
      <c r="K104" s="140" t="s">
        <v>56</v>
      </c>
      <c r="L104" s="142">
        <f>L105</f>
        <v>147.34774066797644</v>
      </c>
      <c r="M104" s="117">
        <f>(L104*34.53)/750</f>
        <v>6.783889980353636</v>
      </c>
      <c r="N104" s="42"/>
    </row>
    <row r="105" spans="1:14" ht="12.75">
      <c r="A105" s="38"/>
      <c r="B105" s="103"/>
      <c r="C105" s="103" t="s">
        <v>163</v>
      </c>
      <c r="D105" s="103"/>
      <c r="E105" s="104">
        <v>1</v>
      </c>
      <c r="F105" s="105">
        <v>45200</v>
      </c>
      <c r="G105" s="106">
        <v>750</v>
      </c>
      <c r="H105" s="44"/>
      <c r="I105" s="98">
        <f>'Machinery Costs'!J7</f>
        <v>8.464641666666667</v>
      </c>
      <c r="J105" s="113">
        <v>5.09</v>
      </c>
      <c r="K105" s="97">
        <f>2.41*E105</f>
        <v>2.41</v>
      </c>
      <c r="L105" s="141">
        <f>(G105*E105)/J105</f>
        <v>147.34774066797644</v>
      </c>
      <c r="M105" s="117">
        <f>1.03*E105</f>
        <v>1.03</v>
      </c>
      <c r="N105" s="42"/>
    </row>
    <row r="106" spans="1:14" ht="12.75">
      <c r="A106" s="38"/>
      <c r="B106" s="103" t="s">
        <v>57</v>
      </c>
      <c r="C106" s="103"/>
      <c r="D106" s="103"/>
      <c r="E106" s="104">
        <v>1</v>
      </c>
      <c r="F106" s="105">
        <v>11550</v>
      </c>
      <c r="G106" s="106">
        <v>1500</v>
      </c>
      <c r="H106" s="44"/>
      <c r="I106" s="98">
        <f>'Machinery Costs'!J8</f>
        <v>1.045996875</v>
      </c>
      <c r="J106" s="113">
        <v>25.6</v>
      </c>
      <c r="K106" s="97">
        <f>0.12*E106</f>
        <v>0.12</v>
      </c>
      <c r="L106" s="136">
        <f>(G106*E106)/J106</f>
        <v>58.59375</v>
      </c>
      <c r="M106" s="117">
        <f>0.24*E106</f>
        <v>0.24</v>
      </c>
      <c r="N106" s="42"/>
    </row>
    <row r="107" spans="1:14" ht="12.75">
      <c r="A107" s="38"/>
      <c r="B107" s="103" t="s">
        <v>58</v>
      </c>
      <c r="C107" s="103"/>
      <c r="D107" s="103"/>
      <c r="E107" s="104">
        <v>4</v>
      </c>
      <c r="F107" s="105">
        <v>142000</v>
      </c>
      <c r="G107" s="106">
        <v>1500</v>
      </c>
      <c r="H107" s="44"/>
      <c r="I107" s="98">
        <f>'Machinery Costs'!J9</f>
        <v>12.685333333333336</v>
      </c>
      <c r="J107" s="45" t="s">
        <v>56</v>
      </c>
      <c r="K107" s="46" t="s">
        <v>56</v>
      </c>
      <c r="L107" s="138">
        <f>L100+L101+L103+L106</f>
        <v>272.4228528080409</v>
      </c>
      <c r="M107" s="117">
        <f>(L107*4.73)/750</f>
        <v>1.7180801250427116</v>
      </c>
      <c r="N107" s="42"/>
    </row>
    <row r="108" spans="1:14" ht="12.75">
      <c r="A108" s="38"/>
      <c r="B108" s="103" t="s">
        <v>59</v>
      </c>
      <c r="C108" s="103"/>
      <c r="D108" s="103"/>
      <c r="E108" s="104">
        <v>3</v>
      </c>
      <c r="F108" s="105">
        <v>32000</v>
      </c>
      <c r="G108" s="106">
        <v>1500</v>
      </c>
      <c r="H108" s="44"/>
      <c r="I108" s="98">
        <f>'Machinery Costs'!J10</f>
        <v>2.7603333333333326</v>
      </c>
      <c r="J108" s="46" t="s">
        <v>56</v>
      </c>
      <c r="K108" s="46" t="s">
        <v>56</v>
      </c>
      <c r="L108" s="138">
        <f>L102</f>
        <v>175.7126122608356</v>
      </c>
      <c r="M108" s="117">
        <f>(L108*1.13)/750</f>
        <v>0.2647403358063256</v>
      </c>
      <c r="N108" s="42"/>
    </row>
    <row r="109" spans="1:14" ht="12.75">
      <c r="A109" s="38"/>
      <c r="B109" s="107" t="s">
        <v>60</v>
      </c>
      <c r="C109" s="107"/>
      <c r="D109" s="107"/>
      <c r="E109" s="108">
        <v>1</v>
      </c>
      <c r="F109" s="109">
        <v>15000</v>
      </c>
      <c r="G109" s="110">
        <v>1500</v>
      </c>
      <c r="H109" s="47"/>
      <c r="I109" s="98">
        <f>'Machinery Costs'!J11</f>
        <v>1.34</v>
      </c>
      <c r="J109" s="48" t="s">
        <v>56</v>
      </c>
      <c r="K109" s="121">
        <f>0.2*E109</f>
        <v>0.2</v>
      </c>
      <c r="L109" s="49"/>
      <c r="M109" s="118">
        <f>0.05*E109</f>
        <v>0.05</v>
      </c>
      <c r="N109" s="42"/>
    </row>
    <row r="110" spans="1:14" ht="12.75">
      <c r="A110" s="38"/>
      <c r="C110" s="38"/>
      <c r="D110" s="38"/>
      <c r="E110" s="50"/>
      <c r="F110" s="51"/>
      <c r="G110" s="51"/>
      <c r="H110" s="51"/>
      <c r="I110" s="52"/>
      <c r="J110" s="53" t="s">
        <v>61</v>
      </c>
      <c r="K110" s="119">
        <f>SUM(K100:K108)*M113+(K109*M113*1.2)</f>
        <v>15.155</v>
      </c>
      <c r="M110" s="54"/>
      <c r="N110" s="42"/>
    </row>
    <row r="111" spans="1:14" ht="12.75">
      <c r="A111" s="38"/>
      <c r="B111" s="55" t="s">
        <v>62</v>
      </c>
      <c r="C111" s="55"/>
      <c r="D111" s="55"/>
      <c r="E111" s="55"/>
      <c r="F111" s="56"/>
      <c r="G111" s="56"/>
      <c r="H111" s="56"/>
      <c r="I111" s="120">
        <f>SUM(I100:I109)</f>
        <v>60.372184375</v>
      </c>
      <c r="J111" s="53" t="s">
        <v>63</v>
      </c>
      <c r="K111" s="119">
        <f>(K110*0.1)+K110</f>
        <v>16.6705</v>
      </c>
      <c r="L111" s="57" t="s">
        <v>6</v>
      </c>
      <c r="M111" s="119">
        <f>SUM(M100:M109)</f>
        <v>13.196710441202672</v>
      </c>
      <c r="N111" s="42"/>
    </row>
    <row r="112" spans="1:14" ht="12.75">
      <c r="A112" s="38"/>
      <c r="B112" s="55"/>
      <c r="C112" s="38"/>
      <c r="D112" s="38"/>
      <c r="E112" s="38"/>
      <c r="F112" s="58"/>
      <c r="G112" s="59"/>
      <c r="H112" s="59"/>
      <c r="I112" s="60"/>
      <c r="J112" s="55"/>
      <c r="K112" s="61"/>
      <c r="L112" s="61"/>
      <c r="M112" s="61"/>
      <c r="N112" s="42"/>
    </row>
    <row r="113" spans="1:14" ht="12.75">
      <c r="A113" s="38"/>
      <c r="B113" s="38"/>
      <c r="C113" s="55"/>
      <c r="D113" s="55"/>
      <c r="E113" s="55"/>
      <c r="F113" s="62"/>
      <c r="G113" s="62"/>
      <c r="H113" s="62"/>
      <c r="I113" s="62"/>
      <c r="J113" s="155" t="s">
        <v>64</v>
      </c>
      <c r="K113" s="155"/>
      <c r="L113" s="155"/>
      <c r="M113" s="116">
        <v>3.5</v>
      </c>
      <c r="N113" s="42"/>
    </row>
    <row r="114" spans="1:14" ht="12.75">
      <c r="A114" s="38" t="s">
        <v>65</v>
      </c>
      <c r="B114" s="55"/>
      <c r="C114" s="55"/>
      <c r="D114" s="55"/>
      <c r="E114" s="55"/>
      <c r="F114" s="62"/>
      <c r="G114" s="62"/>
      <c r="H114" s="62"/>
      <c r="I114" s="60"/>
      <c r="J114" s="55"/>
      <c r="K114" s="61"/>
      <c r="L114" s="61"/>
      <c r="M114" s="61"/>
      <c r="N114" s="42"/>
    </row>
    <row r="115" spans="1:14" ht="12.75">
      <c r="A115" s="38" t="s">
        <v>66</v>
      </c>
      <c r="B115" s="55"/>
      <c r="C115" s="55"/>
      <c r="D115" s="55"/>
      <c r="E115" s="55"/>
      <c r="F115" s="62"/>
      <c r="G115" s="62"/>
      <c r="H115" s="62"/>
      <c r="I115" s="60"/>
      <c r="J115" s="55"/>
      <c r="K115" s="61"/>
      <c r="L115" s="61"/>
      <c r="M115" s="61"/>
      <c r="N115" s="42"/>
    </row>
    <row r="116" spans="1:14" ht="12.75">
      <c r="A116" s="63" t="s">
        <v>67</v>
      </c>
      <c r="B116" s="55"/>
      <c r="C116" s="55"/>
      <c r="D116" s="55"/>
      <c r="E116" s="55"/>
      <c r="F116" s="62"/>
      <c r="G116" s="62"/>
      <c r="H116" s="62"/>
      <c r="I116" s="60"/>
      <c r="J116" s="55"/>
      <c r="K116" s="61"/>
      <c r="L116" s="61"/>
      <c r="M116" s="61"/>
      <c r="N116" s="42"/>
    </row>
    <row r="117" spans="1:14" ht="12.75">
      <c r="A117" s="38" t="s">
        <v>68</v>
      </c>
      <c r="B117" s="38"/>
      <c r="C117" s="38"/>
      <c r="D117" s="38"/>
      <c r="E117" s="38"/>
      <c r="F117" s="64"/>
      <c r="G117" s="64"/>
      <c r="H117" s="64"/>
      <c r="I117" s="60"/>
      <c r="J117" s="38"/>
      <c r="K117" s="42"/>
      <c r="L117" s="42"/>
      <c r="M117" s="42"/>
      <c r="N117" s="42"/>
    </row>
    <row r="118" spans="1:14" ht="12.75">
      <c r="A118" s="38" t="s">
        <v>69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65"/>
      <c r="M118" s="42"/>
      <c r="N118" s="42"/>
    </row>
    <row r="119" spans="1:14" ht="12.75">
      <c r="A119" s="38" t="s">
        <v>70</v>
      </c>
      <c r="B119" s="38"/>
      <c r="C119" s="38"/>
      <c r="D119" s="38"/>
      <c r="E119" s="66"/>
      <c r="F119" s="66"/>
      <c r="G119" s="66"/>
      <c r="H119" s="66"/>
      <c r="I119" s="66"/>
      <c r="J119" s="38"/>
      <c r="K119" s="38"/>
      <c r="L119" s="42"/>
      <c r="M119" s="42"/>
      <c r="N119" s="42"/>
    </row>
    <row r="120" spans="1:13" ht="12.75">
      <c r="A120" s="67" t="s">
        <v>71</v>
      </c>
      <c r="B120" s="38"/>
      <c r="C120" s="68"/>
      <c r="D120" s="38"/>
      <c r="E120" s="66"/>
      <c r="F120" s="66"/>
      <c r="G120" s="66"/>
      <c r="H120" s="66"/>
      <c r="I120" s="66"/>
      <c r="J120" s="38"/>
      <c r="K120" s="38"/>
      <c r="L120" s="42"/>
      <c r="M120" s="42"/>
    </row>
    <row r="121" spans="1:13" ht="12.75">
      <c r="A121" s="38" t="s">
        <v>91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42"/>
      <c r="M121" s="42"/>
    </row>
    <row r="122" spans="1:13" ht="12.75">
      <c r="A122" s="38" t="s">
        <v>117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42"/>
      <c r="M122" s="42"/>
    </row>
    <row r="123" spans="1:13" ht="12.75">
      <c r="A123" s="38" t="s">
        <v>72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42"/>
      <c r="M123" s="42"/>
    </row>
    <row r="124" spans="1:13" ht="12.75">
      <c r="A124" s="38" t="s">
        <v>73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42"/>
      <c r="M124" s="42"/>
    </row>
    <row r="125" spans="1:13" ht="12.75">
      <c r="A125" s="38" t="s">
        <v>74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42"/>
      <c r="M125" s="42"/>
    </row>
  </sheetData>
  <sheetProtection/>
  <mergeCells count="12">
    <mergeCell ref="D1:M1"/>
    <mergeCell ref="D2:M2"/>
    <mergeCell ref="D3:M3"/>
    <mergeCell ref="I7:J7"/>
    <mergeCell ref="D4:L4"/>
    <mergeCell ref="D5:M5"/>
    <mergeCell ref="J113:L113"/>
    <mergeCell ref="E16:H16"/>
    <mergeCell ref="E13:H13"/>
    <mergeCell ref="I8:J8"/>
    <mergeCell ref="F7:G7"/>
    <mergeCell ref="K7:M7"/>
  </mergeCells>
  <dataValidations count="2">
    <dataValidation type="list" allowBlank="1" showInputMessage="1" showErrorMessage="1" sqref="H22:H23 H25:H27">
      <formula1>$P$1:$P$5</formula1>
    </dataValidation>
    <dataValidation type="list" allowBlank="1" showInputMessage="1" showErrorMessage="1" sqref="H24">
      <formula1>$P$1:$P$4</formula1>
    </dataValidation>
  </dataValidations>
  <hyperlinks>
    <hyperlink ref="C93" r:id="rId1" display="http://aede.osu.edu/resources/docs/pdf/UDSIO6SG-9315-IQAW-X7QLG33KLHMNAZZ6.pdf"/>
  </hyperlinks>
  <printOptions horizontalCentered="1"/>
  <pageMargins left="0.5" right="0.5" top="0.5" bottom="0.5" header="0.5" footer="0.5"/>
  <pageSetup fitToHeight="2" horizontalDpi="300" verticalDpi="300" orientation="portrait" scale="90" r:id="rId3"/>
  <ignoredErrors>
    <ignoredError sqref="N1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3.421875" style="0" customWidth="1"/>
    <col min="2" max="2" width="15.8515625" style="0" customWidth="1"/>
    <col min="3" max="3" width="13.57421875" style="0" customWidth="1"/>
    <col min="4" max="4" width="13.140625" style="0" customWidth="1"/>
    <col min="5" max="5" width="12.00390625" style="0" customWidth="1"/>
    <col min="6" max="6" width="12.7109375" style="0" customWidth="1"/>
    <col min="7" max="7" width="10.8515625" style="0" customWidth="1"/>
    <col min="8" max="8" width="9.8515625" style="0" bestFit="1" customWidth="1"/>
    <col min="10" max="10" width="10.28125" style="0" customWidth="1"/>
  </cols>
  <sheetData>
    <row r="1" spans="1:10" ht="15.75" customHeight="1">
      <c r="A1" s="38"/>
      <c r="B1" s="38"/>
      <c r="C1" s="40" t="s">
        <v>120</v>
      </c>
      <c r="D1" s="40" t="s">
        <v>121</v>
      </c>
      <c r="E1" s="40" t="s">
        <v>122</v>
      </c>
      <c r="F1" s="40" t="s">
        <v>123</v>
      </c>
      <c r="G1" s="41" t="s">
        <v>124</v>
      </c>
      <c r="H1" s="40" t="s">
        <v>125</v>
      </c>
      <c r="I1" s="40" t="s">
        <v>147</v>
      </c>
      <c r="J1" s="40" t="s">
        <v>126</v>
      </c>
    </row>
    <row r="2" spans="1:10" ht="12.75">
      <c r="A2" s="91" t="s">
        <v>52</v>
      </c>
      <c r="B2" s="91"/>
      <c r="C2" s="143">
        <f>(sweetcorn!F100+(sweetcorn!F100*0.34)+D2)/2</f>
        <v>11237.75</v>
      </c>
      <c r="D2" s="143">
        <f>(sweetcorn!F100-(sweetcorn!F100*0.34))/8</f>
        <v>1303.5</v>
      </c>
      <c r="E2" s="143">
        <f>0.06*C2</f>
        <v>674.265</v>
      </c>
      <c r="F2" s="143">
        <f>0.005*C2</f>
        <v>56.18875</v>
      </c>
      <c r="G2" s="92">
        <f>0.01*C2</f>
        <v>112.3775</v>
      </c>
      <c r="H2" s="143">
        <f>SUM(D2:G2)</f>
        <v>2146.3312499999997</v>
      </c>
      <c r="I2" s="147">
        <f>sweetcorn!G100</f>
        <v>750</v>
      </c>
      <c r="J2" s="143">
        <f>H2/I2</f>
        <v>2.8617749999999997</v>
      </c>
    </row>
    <row r="3" spans="1:10" ht="12.75">
      <c r="A3" s="75" t="s">
        <v>53</v>
      </c>
      <c r="B3" s="75"/>
      <c r="C3" s="144">
        <f>(sweetcorn!F101+(sweetcorn!F101*0.34)+D3)/2</f>
        <v>20910.75</v>
      </c>
      <c r="D3" s="144">
        <f>(sweetcorn!F101-(sweetcorn!F101*0.34))/8</f>
        <v>2425.5</v>
      </c>
      <c r="E3" s="144">
        <f aca="true" t="shared" si="0" ref="E3:E11">0.06*C3</f>
        <v>1254.645</v>
      </c>
      <c r="F3" s="144">
        <f aca="true" t="shared" si="1" ref="F3:F11">0.005*C3</f>
        <v>104.55375000000001</v>
      </c>
      <c r="G3" s="93">
        <f aca="true" t="shared" si="2" ref="G3:G11">0.01*C3</f>
        <v>209.10750000000002</v>
      </c>
      <c r="H3" s="144">
        <f aca="true" t="shared" si="3" ref="H3:H11">SUM(D3:G3)</f>
        <v>3993.80625</v>
      </c>
      <c r="I3" s="148">
        <f>sweetcorn!G101</f>
        <v>750</v>
      </c>
      <c r="J3" s="144">
        <f aca="true" t="shared" si="4" ref="J3:J11">H3/I3</f>
        <v>5.325075</v>
      </c>
    </row>
    <row r="4" spans="1:10" ht="12.75">
      <c r="A4" s="75" t="s">
        <v>54</v>
      </c>
      <c r="B4" s="75"/>
      <c r="C4" s="144">
        <f>(sweetcorn!F102+(sweetcorn!F102*0.34)+D4)/2</f>
        <v>13442.625</v>
      </c>
      <c r="D4" s="144">
        <f>(sweetcorn!F102-(sweetcorn!F102*0.34))/8</f>
        <v>1559.25</v>
      </c>
      <c r="E4" s="144">
        <f t="shared" si="0"/>
        <v>806.5575</v>
      </c>
      <c r="F4" s="144">
        <f t="shared" si="1"/>
        <v>67.213125</v>
      </c>
      <c r="G4" s="93">
        <f t="shared" si="2"/>
        <v>134.42625</v>
      </c>
      <c r="H4" s="144">
        <f t="shared" si="3"/>
        <v>2567.446875</v>
      </c>
      <c r="I4" s="148">
        <f>sweetcorn!G102</f>
        <v>1500</v>
      </c>
      <c r="J4" s="144">
        <f t="shared" si="4"/>
        <v>1.7116312500000002</v>
      </c>
    </row>
    <row r="5" spans="1:10" ht="12.75">
      <c r="A5" s="75" t="s">
        <v>55</v>
      </c>
      <c r="B5" s="75"/>
      <c r="C5" s="144">
        <f>(sweetcorn!F103+(sweetcorn!F103*0.44)+D5)/2</f>
        <v>21442</v>
      </c>
      <c r="D5" s="144">
        <f>(sweetcorn!F103-(sweetcorn!F103*0.44))/8</f>
        <v>1988</v>
      </c>
      <c r="E5" s="144">
        <f t="shared" si="0"/>
        <v>1286.52</v>
      </c>
      <c r="F5" s="144">
        <f t="shared" si="1"/>
        <v>107.21000000000001</v>
      </c>
      <c r="G5" s="93">
        <f t="shared" si="2"/>
        <v>214.42000000000002</v>
      </c>
      <c r="H5" s="144">
        <f t="shared" si="3"/>
        <v>3596.15</v>
      </c>
      <c r="I5" s="148">
        <f>sweetcorn!G103</f>
        <v>750</v>
      </c>
      <c r="J5" s="144">
        <f t="shared" si="4"/>
        <v>4.794866666666667</v>
      </c>
    </row>
    <row r="6" spans="1:10" ht="12.75">
      <c r="A6" s="66" t="s">
        <v>161</v>
      </c>
      <c r="B6" s="66"/>
      <c r="C6" s="144">
        <f>(sweetcorn!F104+(sweetcorn!F104*0.29)+D6)/2</f>
        <v>142700.625</v>
      </c>
      <c r="D6" s="144">
        <f>(sweetcorn!F104-(sweetcorn!F104*0.29))/8</f>
        <v>18371.25</v>
      </c>
      <c r="E6" s="146">
        <f>0.06*C6</f>
        <v>8562.0375</v>
      </c>
      <c r="F6" s="146">
        <f>0.005*C6</f>
        <v>713.5031250000001</v>
      </c>
      <c r="G6" s="93">
        <f>0.01*C6</f>
        <v>1427.0062500000001</v>
      </c>
      <c r="H6" s="144">
        <f>SUM(D6:G6)</f>
        <v>29073.796874999996</v>
      </c>
      <c r="I6" s="148">
        <f>sweetcorn!G104</f>
        <v>1500</v>
      </c>
      <c r="J6" s="144">
        <f t="shared" si="4"/>
        <v>19.382531249999996</v>
      </c>
    </row>
    <row r="7" spans="1:10" ht="12.75">
      <c r="A7" s="66"/>
      <c r="B7" s="66" t="s">
        <v>162</v>
      </c>
      <c r="C7" s="144">
        <f>(sweetcorn!F105+(sweetcorn!F105*0.29)+D7)/2</f>
        <v>31159.75</v>
      </c>
      <c r="D7" s="144">
        <f>(sweetcorn!F105-(sweetcorn!F105*0.29))/8</f>
        <v>4011.5</v>
      </c>
      <c r="E7" s="146">
        <f>0.06*C7</f>
        <v>1869.585</v>
      </c>
      <c r="F7" s="146">
        <f>0.005*C7</f>
        <v>155.79875</v>
      </c>
      <c r="G7" s="93">
        <f>0.01*C7</f>
        <v>311.5975</v>
      </c>
      <c r="H7" s="144">
        <f>SUM(D7:G7)</f>
        <v>6348.48125</v>
      </c>
      <c r="I7" s="148">
        <f>sweetcorn!G105</f>
        <v>750</v>
      </c>
      <c r="J7" s="144">
        <f t="shared" si="4"/>
        <v>8.464641666666667</v>
      </c>
    </row>
    <row r="8" spans="1:10" ht="12.75">
      <c r="A8" s="75" t="s">
        <v>57</v>
      </c>
      <c r="B8" s="75"/>
      <c r="C8" s="144">
        <f>(sweetcorn!F106+(sweetcorn!F106*0.34)+D8)/2</f>
        <v>8214.9375</v>
      </c>
      <c r="D8" s="144">
        <f>(sweetcorn!F106-(sweetcorn!F106*0.34))/8</f>
        <v>952.875</v>
      </c>
      <c r="E8" s="144">
        <f t="shared" si="0"/>
        <v>492.89625</v>
      </c>
      <c r="F8" s="144">
        <f t="shared" si="1"/>
        <v>41.0746875</v>
      </c>
      <c r="G8" s="93">
        <f t="shared" si="2"/>
        <v>82.149375</v>
      </c>
      <c r="H8" s="144">
        <f t="shared" si="3"/>
        <v>1568.9953125</v>
      </c>
      <c r="I8" s="148">
        <f>sweetcorn!G106</f>
        <v>1500</v>
      </c>
      <c r="J8" s="144">
        <f t="shared" si="4"/>
        <v>1.045996875</v>
      </c>
    </row>
    <row r="9" spans="1:10" ht="12.75">
      <c r="A9" s="75" t="s">
        <v>58</v>
      </c>
      <c r="B9" s="75"/>
      <c r="C9" s="144">
        <f>(sweetcorn!F107+(sweetcorn!F107*0.36)+D9)/2</f>
        <v>102240</v>
      </c>
      <c r="D9" s="144">
        <f>(sweetcorn!F107-(sweetcorn!F107*0.36))/8</f>
        <v>11360</v>
      </c>
      <c r="E9" s="144">
        <f t="shared" si="0"/>
        <v>6134.4</v>
      </c>
      <c r="F9" s="144">
        <f t="shared" si="1"/>
        <v>511.2</v>
      </c>
      <c r="G9" s="93">
        <f t="shared" si="2"/>
        <v>1022.4</v>
      </c>
      <c r="H9" s="144">
        <f t="shared" si="3"/>
        <v>19028.000000000004</v>
      </c>
      <c r="I9" s="148">
        <f>sweetcorn!G107</f>
        <v>1500</v>
      </c>
      <c r="J9" s="144">
        <f t="shared" si="4"/>
        <v>12.685333333333336</v>
      </c>
    </row>
    <row r="10" spans="1:10" ht="12.75">
      <c r="A10" s="75" t="s">
        <v>59</v>
      </c>
      <c r="B10" s="75"/>
      <c r="C10" s="144">
        <f>(sweetcorn!F108+(sweetcorn!F108*0.41)+D10)/2</f>
        <v>23740</v>
      </c>
      <c r="D10" s="144">
        <f>(sweetcorn!F108-(sweetcorn!F108*0.41))/8</f>
        <v>2360</v>
      </c>
      <c r="E10" s="144">
        <f t="shared" si="0"/>
        <v>1424.3999999999999</v>
      </c>
      <c r="F10" s="144">
        <f t="shared" si="1"/>
        <v>118.7</v>
      </c>
      <c r="G10" s="93">
        <f t="shared" si="2"/>
        <v>237.4</v>
      </c>
      <c r="H10" s="144">
        <f t="shared" si="3"/>
        <v>4140.499999999999</v>
      </c>
      <c r="I10" s="148">
        <f>sweetcorn!G108</f>
        <v>1500</v>
      </c>
      <c r="J10" s="144">
        <f t="shared" si="4"/>
        <v>2.7603333333333326</v>
      </c>
    </row>
    <row r="11" spans="1:10" ht="12.75">
      <c r="A11" s="94" t="s">
        <v>60</v>
      </c>
      <c r="B11" s="94"/>
      <c r="C11" s="145">
        <f>(sweetcorn!F109+(sweetcorn!F109*0.36)+D11)/2</f>
        <v>10800</v>
      </c>
      <c r="D11" s="145">
        <f>(sweetcorn!F109-(sweetcorn!F109*0.36))/8</f>
        <v>1200</v>
      </c>
      <c r="E11" s="145">
        <f t="shared" si="0"/>
        <v>648</v>
      </c>
      <c r="F11" s="145">
        <f t="shared" si="1"/>
        <v>54</v>
      </c>
      <c r="G11" s="95">
        <f t="shared" si="2"/>
        <v>108</v>
      </c>
      <c r="H11" s="145">
        <f t="shared" si="3"/>
        <v>2010</v>
      </c>
      <c r="I11" s="149">
        <f>sweetcorn!G109</f>
        <v>1500</v>
      </c>
      <c r="J11" s="145">
        <f t="shared" si="4"/>
        <v>1.34</v>
      </c>
    </row>
    <row r="13" spans="1:2" ht="12.75">
      <c r="A13" s="130" t="s">
        <v>127</v>
      </c>
      <c r="B13" s="130"/>
    </row>
    <row r="14" spans="1:2" ht="12.75">
      <c r="A14" s="75" t="s">
        <v>128</v>
      </c>
      <c r="B14" s="75"/>
    </row>
    <row r="15" ht="12.75">
      <c r="A15">
        <v>2</v>
      </c>
    </row>
    <row r="17" spans="1:2" ht="12.75">
      <c r="A17" s="55" t="s">
        <v>129</v>
      </c>
      <c r="B17" s="55"/>
    </row>
    <row r="18" spans="1:2" ht="12.75">
      <c r="A18" s="129" t="s">
        <v>141</v>
      </c>
      <c r="B18" s="129"/>
    </row>
    <row r="19" spans="1:2" ht="12.75">
      <c r="A19" s="129" t="s">
        <v>130</v>
      </c>
      <c r="B19" s="129"/>
    </row>
    <row r="20" spans="1:2" ht="12.75">
      <c r="A20" s="129"/>
      <c r="B20" s="129"/>
    </row>
    <row r="21" spans="1:2" ht="12.75">
      <c r="A21" s="55" t="s">
        <v>137</v>
      </c>
      <c r="B21" s="55"/>
    </row>
    <row r="22" spans="1:2" ht="12.75">
      <c r="A22" s="129" t="s">
        <v>131</v>
      </c>
      <c r="B22" s="129"/>
    </row>
    <row r="23" spans="1:2" ht="12.75">
      <c r="A23" s="129"/>
      <c r="B23" s="129"/>
    </row>
    <row r="24" spans="1:2" ht="12.75">
      <c r="A24" s="55" t="s">
        <v>132</v>
      </c>
      <c r="B24" s="55"/>
    </row>
    <row r="25" spans="1:2" ht="12.75">
      <c r="A25" s="129" t="s">
        <v>133</v>
      </c>
      <c r="B25" s="129"/>
    </row>
    <row r="26" spans="1:2" ht="12.75">
      <c r="A26" s="129"/>
      <c r="B26" s="129"/>
    </row>
    <row r="27" spans="1:2" ht="12.75">
      <c r="A27" s="55" t="s">
        <v>134</v>
      </c>
      <c r="B27" s="55"/>
    </row>
    <row r="28" spans="1:2" ht="12.75">
      <c r="A28" s="129" t="s">
        <v>135</v>
      </c>
      <c r="B28" s="129"/>
    </row>
    <row r="29" spans="1:2" ht="12.75">
      <c r="A29" s="129"/>
      <c r="B29" s="129"/>
    </row>
    <row r="30" spans="1:2" ht="12.75">
      <c r="A30" s="55" t="s">
        <v>136</v>
      </c>
      <c r="B30" s="55"/>
    </row>
    <row r="31" spans="1:2" ht="12.75">
      <c r="A31" s="129" t="s">
        <v>138</v>
      </c>
      <c r="B31" s="129"/>
    </row>
    <row r="32" spans="1:2" ht="12.75">
      <c r="A32" s="129"/>
      <c r="B32" s="129"/>
    </row>
    <row r="33" spans="1:2" ht="12.75">
      <c r="A33" s="55" t="s">
        <v>139</v>
      </c>
      <c r="B33" s="55"/>
    </row>
    <row r="34" spans="1:2" ht="12.75">
      <c r="A34" s="129" t="s">
        <v>142</v>
      </c>
      <c r="B34" s="129"/>
    </row>
    <row r="35" spans="1:2" ht="12.75">
      <c r="A35" s="129" t="s">
        <v>140</v>
      </c>
      <c r="B35" s="12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Ohio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Moore</dc:creator>
  <cp:keywords/>
  <dc:description/>
  <cp:lastModifiedBy>student.331</cp:lastModifiedBy>
  <cp:lastPrinted>2008-06-17T17:29:30Z</cp:lastPrinted>
  <dcterms:created xsi:type="dcterms:W3CDTF">1999-03-19T18:36:31Z</dcterms:created>
  <dcterms:modified xsi:type="dcterms:W3CDTF">2008-06-17T19:27:11Z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