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461" windowWidth="14985" windowHeight="8580" activeTab="0"/>
  </bookViews>
  <sheets>
    <sheet name="wheat" sheetId="1" r:id="rId1"/>
    <sheet name="machinery costs" sheetId="2" r:id="rId2"/>
    <sheet name="Quick Stats" sheetId="3" r:id="rId3"/>
  </sheets>
  <definedNames>
    <definedName name="_xlnm.Print_Area" localSheetId="0">'wheat'!$A$1:$N$142</definedName>
  </definedNames>
  <calcPr fullCalcOnLoad="1"/>
</workbook>
</file>

<file path=xl/sharedStrings.xml><?xml version="1.0" encoding="utf-8"?>
<sst xmlns="http://schemas.openxmlformats.org/spreadsheetml/2006/main" count="256" uniqueCount="191">
  <si>
    <t>Grain and Straw Harvested</t>
  </si>
  <si>
    <t>ITEM</t>
  </si>
  <si>
    <t>EXPLANATION</t>
  </si>
  <si>
    <t>PRICE PER</t>
  </si>
  <si>
    <t>YIELD (bu/A)</t>
  </si>
  <si>
    <t xml:space="preserve">YOUR </t>
  </si>
  <si>
    <t>UNIT</t>
  </si>
  <si>
    <t>BUDGET</t>
  </si>
  <si>
    <t>RECEIPTS</t>
  </si>
  <si>
    <t>/bu</t>
  </si>
  <si>
    <t>VARIABLE  COSTS</t>
  </si>
  <si>
    <t>Seed</t>
  </si>
  <si>
    <t>/lb</t>
  </si>
  <si>
    <t>N (lbs.)</t>
  </si>
  <si>
    <t>Lime(ton)</t>
  </si>
  <si>
    <t>/ton</t>
  </si>
  <si>
    <t>Trucking - Fuel Only</t>
  </si>
  <si>
    <t>mo.</t>
  </si>
  <si>
    <t>TOTAL VARIABLE COSTS</t>
  </si>
  <si>
    <t>-Per Acre</t>
  </si>
  <si>
    <t>-Per Bushel</t>
  </si>
  <si>
    <t>FIXED COSTS</t>
  </si>
  <si>
    <t>hours</t>
  </si>
  <si>
    <t>/hr</t>
  </si>
  <si>
    <t>Management Charge</t>
  </si>
  <si>
    <t>of gross revenue</t>
  </si>
  <si>
    <t>TOTAL FIXED COSTS</t>
  </si>
  <si>
    <t>TOTAL COSTS  (Grain Only)</t>
  </si>
  <si>
    <t>RETURN ABOVE VARIABLE COSTS</t>
  </si>
  <si>
    <t>RETURN ABOVE TOTAL COSTS</t>
  </si>
  <si>
    <t>RECEIPTS (Straw Only)</t>
  </si>
  <si>
    <t>VARIABLE COSTS (Straw Only)</t>
  </si>
  <si>
    <t>Miscellaneous</t>
  </si>
  <si>
    <t>FIXED COSTS (Straw Only)</t>
  </si>
  <si>
    <t>/hour</t>
  </si>
  <si>
    <t>RETURN ABOVE VARIABLE COSTS (Straw Only)</t>
  </si>
  <si>
    <t>RETURN ABOVE TOTAL COSTS (Straw Only)</t>
  </si>
  <si>
    <t xml:space="preserve">Assumes only maintenance application of fertilizer needed, soil test values of 20 PPM P/A and 125 PPM K/A, </t>
  </si>
  <si>
    <t>See tables below for specific calculations.</t>
  </si>
  <si>
    <t xml:space="preserve">Part or all of labor may be a variable cost if paid labor varies with acres farmed. </t>
  </si>
  <si>
    <t xml:space="preserve">It's a fixed cost if labor costs do not change with acres farmed. </t>
  </si>
  <si>
    <t>Return to labor and management is the revenue less total expenses except operator labor and management.</t>
  </si>
  <si>
    <t>It is a measure of the returns to the operator's labor and management.</t>
  </si>
  <si>
    <t>Number times used</t>
  </si>
  <si>
    <t xml:space="preserve">Cost </t>
  </si>
  <si>
    <t>Repairs ($/A)</t>
  </si>
  <si>
    <t>Fertilizer Spreader</t>
  </si>
  <si>
    <t>Price of Diesel Fuel =</t>
  </si>
  <si>
    <t>*Fuel calculations are based on the implement plus tractor.</t>
  </si>
  <si>
    <t>Machinery Inventory - Straw Only</t>
  </si>
  <si>
    <t>Fuel*        (gal/A)</t>
  </si>
  <si>
    <r>
      <t>Fertilizer</t>
    </r>
    <r>
      <rPr>
        <vertAlign val="superscript"/>
        <sz val="10"/>
        <rFont val="Arial"/>
        <family val="2"/>
      </rPr>
      <t xml:space="preserve"> 3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</si>
  <si>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</si>
  <si>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</si>
  <si>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4</t>
    </r>
  </si>
  <si>
    <r>
      <t xml:space="preserve">Fuel, Oil, Grease </t>
    </r>
    <r>
      <rPr>
        <vertAlign val="superscript"/>
        <sz val="10"/>
        <rFont val="Arial"/>
        <family val="2"/>
      </rPr>
      <t>5</t>
    </r>
  </si>
  <si>
    <r>
      <t xml:space="preserve">Repairs </t>
    </r>
    <r>
      <rPr>
        <vertAlign val="superscript"/>
        <sz val="10"/>
        <rFont val="Arial"/>
        <family val="2"/>
      </rPr>
      <t>6</t>
    </r>
  </si>
  <si>
    <r>
      <t xml:space="preserve">Miscellaneous </t>
    </r>
    <r>
      <rPr>
        <vertAlign val="superscript"/>
        <sz val="10"/>
        <rFont val="Arial"/>
        <family val="2"/>
      </rPr>
      <t>7</t>
    </r>
  </si>
  <si>
    <r>
      <t>Int. on Oper. Cap.</t>
    </r>
    <r>
      <rPr>
        <vertAlign val="superscript"/>
        <sz val="10"/>
        <rFont val="Arial"/>
        <family val="2"/>
      </rPr>
      <t xml:space="preserve"> 8</t>
    </r>
  </si>
  <si>
    <r>
      <t xml:space="preserve">Hired Labor </t>
    </r>
    <r>
      <rPr>
        <vertAlign val="superscript"/>
        <sz val="10"/>
        <rFont val="Arial"/>
        <family val="2"/>
      </rPr>
      <t>9</t>
    </r>
  </si>
  <si>
    <r>
      <t xml:space="preserve">Labor Charge </t>
    </r>
    <r>
      <rPr>
        <vertAlign val="superscript"/>
        <sz val="10"/>
        <rFont val="Arial"/>
        <family val="2"/>
      </rPr>
      <t>9</t>
    </r>
  </si>
  <si>
    <r>
      <t>Mach. And Equip. Charge</t>
    </r>
    <r>
      <rPr>
        <vertAlign val="superscript"/>
        <sz val="10"/>
        <rFont val="Arial"/>
        <family val="2"/>
      </rPr>
      <t xml:space="preserve"> 10</t>
    </r>
  </si>
  <si>
    <r>
      <t xml:space="preserve">Land Charge </t>
    </r>
    <r>
      <rPr>
        <vertAlign val="superscript"/>
        <sz val="10"/>
        <rFont val="Arial"/>
        <family val="2"/>
      </rPr>
      <t>11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</si>
  <si>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12</t>
    </r>
  </si>
  <si>
    <r>
      <t xml:space="preserve">Mach. &amp; Equip. Charge </t>
    </r>
    <r>
      <rPr>
        <vertAlign val="superscript"/>
        <sz val="10"/>
        <rFont val="Arial"/>
        <family val="2"/>
      </rPr>
      <t>10</t>
    </r>
  </si>
  <si>
    <r>
      <t>RETURN TO LABOR AND MANAGEMENT (Straw Only)</t>
    </r>
    <r>
      <rPr>
        <b/>
        <vertAlign val="superscript"/>
        <sz val="10"/>
        <rFont val="Arial"/>
        <family val="2"/>
      </rPr>
      <t>12</t>
    </r>
  </si>
  <si>
    <r>
      <t xml:space="preserve">LDP </t>
    </r>
    <r>
      <rPr>
        <vertAlign val="superscript"/>
        <sz val="10"/>
        <rFont val="Arial"/>
        <family val="2"/>
      </rPr>
      <t>2</t>
    </r>
  </si>
  <si>
    <t>DP Yields</t>
  </si>
  <si>
    <t>CC Yields</t>
  </si>
  <si>
    <t>LDP is calculated as loan rate minus market price. LDP is 0 if market price is greater than loan rate.</t>
  </si>
  <si>
    <t>(Direct payments are paid only on 85% of base acres.) Direct payment yields are calculated as 85%,</t>
  </si>
  <si>
    <t>Counter Cyclical Payments (CCP) are calculated and included when market price + DP is less than</t>
  </si>
  <si>
    <t xml:space="preserve">Direct Payments (DP) are calculated by multiplying DP Yields by 85% by the DP Price of $0.52/bu. </t>
  </si>
  <si>
    <t>the Target Price of $3.92/bu. Calculation of the CCP is based on Counter Cyclical (CC) Yield multiplied</t>
  </si>
  <si>
    <t xml:space="preserve">by 85% multiplied by the CCP Rate ((Target Price - (Mkt Price + DP)). CC Yield assumed to be 93.5%of </t>
  </si>
  <si>
    <t>Total Wheat Receipts</t>
  </si>
  <si>
    <t>seeds</t>
  </si>
  <si>
    <t>/1000</t>
  </si>
  <si>
    <t>***</t>
  </si>
  <si>
    <t xml:space="preserve">Machinery and Equipment charge = </t>
  </si>
  <si>
    <t>Hay Rake (Hyd) 9 ft.</t>
  </si>
  <si>
    <t>Hay Baler PTO Twine 12 ft.</t>
  </si>
  <si>
    <t>Hay Wagon - 2</t>
  </si>
  <si>
    <t xml:space="preserve">Machines are all assumed to be new and in the first year of use (except for Semi Tractor-Trailer and Pickup-Truck). </t>
  </si>
  <si>
    <t>See tables below for specific calculations. Lubrication costs are assumed to be 10% of fuel costs.</t>
  </si>
  <si>
    <t>Crop Insurance</t>
  </si>
  <si>
    <r>
      <t xml:space="preserve">Wheat (Grain Only) </t>
    </r>
    <r>
      <rPr>
        <vertAlign val="superscript"/>
        <sz val="10"/>
        <rFont val="Arial"/>
        <family val="2"/>
      </rPr>
      <t>1</t>
    </r>
  </si>
  <si>
    <t xml:space="preserve">Includes supplies, utilities, soil tests, small tools, etc… </t>
  </si>
  <si>
    <t>Fertilizer amounts and costs listed are amounts in addition to fertilizer amounts listed for wheat.</t>
  </si>
  <si>
    <t>Returns do not account for incresed returns to corn and soybeans as a result of wheat in the rotation.</t>
  </si>
  <si>
    <t>Machinery Cost</t>
  </si>
  <si>
    <t>Acres per Year</t>
  </si>
  <si>
    <t>Cost per Acre</t>
  </si>
  <si>
    <t>Acres/ Hr</t>
  </si>
  <si>
    <t>Pickup Truck (1/2)**</t>
  </si>
  <si>
    <t>Fuel</t>
  </si>
  <si>
    <t>Machinery and Equipment Charge per Acre</t>
  </si>
  <si>
    <t>F&amp;L</t>
  </si>
  <si>
    <t>Repairs</t>
  </si>
  <si>
    <t xml:space="preserve">TOTAL COSTS (Straw Only)- Per Acre </t>
  </si>
  <si>
    <t>TOTAL VARIABLE COSTS- Per Acre</t>
  </si>
  <si>
    <t>Machinery Inventory - Wheat Only</t>
  </si>
  <si>
    <t>**Semi Tractor Trailer and Pickup Truck are assumed to be used equipment.</t>
  </si>
  <si>
    <t>***Fuel for Semi is included in Budget as Trucking - Fuel Only</t>
  </si>
  <si>
    <t>YOUR</t>
  </si>
  <si>
    <t>PROD.</t>
  </si>
  <si>
    <t>NUMBERS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</si>
  <si>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</si>
  <si>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</si>
  <si>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</si>
  <si>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These cells may be input manually, but macros will be overwritten!</t>
  </si>
  <si>
    <t>Values highlighted in gray are stand alone cells that require direct input from the user.</t>
  </si>
  <si>
    <t>County Loan Price</t>
  </si>
  <si>
    <t>-----</t>
  </si>
  <si>
    <t xml:space="preserve"> 6.0% Interest on Average Value, 0.5% Insurance Cost on Average Value and 1.0% Housing Cost on Average Value.</t>
  </si>
  <si>
    <t>Salvage Values are based on ASAE formulas.</t>
  </si>
  <si>
    <r>
      <t>Direct Payment</t>
    </r>
    <r>
      <rPr>
        <vertAlign val="superscript"/>
        <sz val="10"/>
        <rFont val="Arial"/>
        <family val="2"/>
      </rPr>
      <t xml:space="preserve"> 2</t>
    </r>
  </si>
  <si>
    <r>
      <t xml:space="preserve">C.C. Payment </t>
    </r>
    <r>
      <rPr>
        <vertAlign val="superscript"/>
        <sz val="10"/>
        <rFont val="Arial"/>
        <family val="2"/>
      </rPr>
      <t>2</t>
    </r>
  </si>
  <si>
    <t>Assumes UAN(28-0-0):</t>
  </si>
  <si>
    <t>/ton     MAP(11-52-0):</t>
  </si>
  <si>
    <t>/ton     Potash(0-0-60):</t>
  </si>
  <si>
    <t>Updated:</t>
  </si>
  <si>
    <t>80%, and 80% of the Program Yields 50/bushels per acre (bpa), 65/bpa, and 80/bpa, respectively.</t>
  </si>
  <si>
    <t>Program Yield (50,65 and 80 bpa, respectively.)</t>
  </si>
  <si>
    <t>RETURN TO LAND</t>
  </si>
  <si>
    <t>Average Value</t>
  </si>
  <si>
    <t>Depreciation</t>
  </si>
  <si>
    <t>Cost Cap.</t>
  </si>
  <si>
    <t>Insurance</t>
  </si>
  <si>
    <t>Housing</t>
  </si>
  <si>
    <t>Total</t>
  </si>
  <si>
    <t>Cost/acre</t>
  </si>
  <si>
    <t>Machinery</t>
  </si>
  <si>
    <t>Machinery Inventory Explanations - Wheat Only</t>
  </si>
  <si>
    <t>Machinery Inventory Explanations - Hay Only</t>
  </si>
  <si>
    <t>Hours/ Year</t>
  </si>
  <si>
    <t>Acres / Year</t>
  </si>
  <si>
    <t>Hours/Year</t>
  </si>
  <si>
    <t xml:space="preserve">and 20 CEC. Fertilizer prices vary over time and by area.  </t>
  </si>
  <si>
    <t>Item</t>
  </si>
  <si>
    <t>Input</t>
  </si>
  <si>
    <t>Yield in bushels/acre</t>
  </si>
  <si>
    <t>Receipts</t>
  </si>
  <si>
    <t>/bushel</t>
  </si>
  <si>
    <t>Variable Costs</t>
  </si>
  <si>
    <t>Seed Cost</t>
  </si>
  <si>
    <t>/1000 seeds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</si>
  <si>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</si>
  <si>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</si>
  <si>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</si>
  <si>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</si>
  <si>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</si>
  <si>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</si>
  <si>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</si>
  <si>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t>Wheat Price</t>
  </si>
  <si>
    <t>N (UAN)</t>
  </si>
  <si>
    <t>Herbicide</t>
  </si>
  <si>
    <t>Insecticide</t>
  </si>
  <si>
    <t>Fungicide</t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</si>
  <si>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</si>
  <si>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</si>
  <si>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/gal Diesel</t>
  </si>
  <si>
    <t>miles</t>
  </si>
  <si>
    <t>30 Ft. No-Till Drill</t>
  </si>
  <si>
    <t>Reflects 2000 acres, conservation tillage. Wheat grown 1 out of 5 years. See tables below for specific calculations.</t>
  </si>
  <si>
    <t>Interest on all variable costs, except trucking.</t>
  </si>
  <si>
    <t>Cost per Acre = Machinery Cost (New Cost) Assumes 8 Year Useful Life using Straight Line Depreciation,</t>
  </si>
  <si>
    <t>30' Grain Head</t>
  </si>
  <si>
    <t>2 Semi Tractor/Trailers**</t>
  </si>
  <si>
    <t>Average based on "Ohio Cropland Values and Cash Rents" Factsheet</t>
  </si>
  <si>
    <t>Land charges vary throughout the state, check your local rates.</t>
  </si>
  <si>
    <t>Machinery cost estimates, fuel estimates and cost calculations based on information from the "Farm Machinery Cost Estimates"</t>
  </si>
  <si>
    <t>See the reference online at:</t>
  </si>
  <si>
    <t>Return to Variable Costs</t>
  </si>
  <si>
    <t>37 ft. Chisel Plow</t>
  </si>
  <si>
    <t>47 ft. Field Cultivator</t>
  </si>
  <si>
    <t>Boom Sprayer, Self. Prop.</t>
  </si>
  <si>
    <t>Combine 340 HP</t>
  </si>
  <si>
    <t>Grain Cart</t>
  </si>
  <si>
    <t>310 HP Tractor</t>
  </si>
  <si>
    <t>260 HP Tractor</t>
  </si>
  <si>
    <t>WHEAT PRODUCTION BUDGET Conservation Till- 2012</t>
  </si>
  <si>
    <t>WHEAT QUICK STATS - 2012</t>
  </si>
  <si>
    <t>Labor and Management</t>
  </si>
  <si>
    <t>Breakeven Cost</t>
  </si>
  <si>
    <t>http://faculty.apec.umn.edu/wlazarus/documents/machdata.pdf</t>
  </si>
  <si>
    <t>Price is based on up-to-date September Futures minus 0.50 basis</t>
  </si>
  <si>
    <t>Prepared by: Barry Ward, Leader, Production Business Management</t>
  </si>
  <si>
    <t>Reflects 2000 acres, Conservation Tillage Wheat/Corn/No-Till RR Soybeans</t>
  </si>
  <si>
    <t>The "machinery cost" tab (next tab at the bottom of this worksheet) shows details of "Machinery and Equipment Charge per Acre".</t>
  </si>
  <si>
    <t>Based on use of Spring application of 0.5 oz of Harmony and 1/2 pint of 2,4-D (4 lb/gal)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</si>
</sst>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%"/>
    <numFmt numFmtId="168" formatCode="_(* #,##0_);_(* \(#,##0\);_(* &quot;-&quot;??_);_(@_)"/>
    <numFmt numFmtId="169" formatCode="0.0000"/>
    <numFmt numFmtId="170" formatCode=";;;"/>
    <numFmt numFmtId="17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mediumDashed"/>
      <bottom/>
    </border>
    <border>
      <left/>
      <right/>
      <top style="dotted"/>
      <bottom/>
    </border>
    <border>
      <left/>
      <right/>
      <top/>
      <bottom style="mediumDashed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9" fontId="0" fillId="0" borderId="0" xfId="59" applyFont="1" applyAlignment="1">
      <alignment horizontal="right"/>
    </xf>
    <xf numFmtId="168" fontId="0" fillId="0" borderId="0" xfId="42" applyNumberFormat="1" applyFon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7" fontId="4" fillId="0" borderId="0" xfId="44" applyNumberFormat="1" applyFont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168" fontId="10" fillId="0" borderId="0" xfId="42" applyNumberFormat="1" applyFont="1" applyAlignment="1">
      <alignment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3" fontId="10" fillId="0" borderId="0" xfId="0" applyNumberFormat="1" applyFont="1" applyFill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3" fontId="10" fillId="0" borderId="11" xfId="44" applyNumberFormat="1" applyFont="1" applyFill="1" applyBorder="1" applyAlignment="1">
      <alignment horizontal="center"/>
    </xf>
    <xf numFmtId="9" fontId="10" fillId="0" borderId="0" xfId="59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8" fontId="12" fillId="0" borderId="0" xfId="42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9" fontId="12" fillId="0" borderId="0" xfId="59" applyFont="1" applyAlignment="1">
      <alignment horizontal="right"/>
    </xf>
    <xf numFmtId="9" fontId="10" fillId="0" borderId="0" xfId="59" applyFont="1" applyAlignment="1">
      <alignment horizontal="right"/>
    </xf>
    <xf numFmtId="2" fontId="12" fillId="0" borderId="0" xfId="0" applyNumberFormat="1" applyFont="1" applyAlignment="1">
      <alignment/>
    </xf>
    <xf numFmtId="168" fontId="12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3" xfId="0" applyNumberFormat="1" applyBorder="1" applyAlignment="1" quotePrefix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165" fontId="0" fillId="33" borderId="0" xfId="0" applyNumberFormat="1" applyFill="1" applyAlignment="1">
      <alignment horizontal="center"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0" xfId="0" applyFont="1" applyFill="1" applyAlignment="1">
      <alignment/>
    </xf>
    <xf numFmtId="0" fontId="13" fillId="34" borderId="11" xfId="0" applyFont="1" applyFill="1" applyBorder="1" applyAlignment="1">
      <alignment horizontal="center"/>
    </xf>
    <xf numFmtId="165" fontId="13" fillId="33" borderId="0" xfId="0" applyNumberFormat="1" applyFont="1" applyFill="1" applyAlignment="1">
      <alignment/>
    </xf>
    <xf numFmtId="165" fontId="13" fillId="34" borderId="0" xfId="0" applyNumberFormat="1" applyFont="1" applyFill="1" applyAlignment="1">
      <alignment/>
    </xf>
    <xf numFmtId="170" fontId="0" fillId="0" borderId="0" xfId="0" applyNumberFormat="1" applyFont="1" applyAlignment="1" applyProtection="1">
      <alignment/>
      <protection/>
    </xf>
    <xf numFmtId="4" fontId="4" fillId="33" borderId="0" xfId="0" applyNumberFormat="1" applyFont="1" applyFill="1" applyAlignment="1">
      <alignment/>
    </xf>
    <xf numFmtId="2" fontId="13" fillId="34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4" fontId="4" fillId="0" borderId="13" xfId="0" applyNumberFormat="1" applyFont="1" applyBorder="1" applyAlignment="1" quotePrefix="1">
      <alignment/>
    </xf>
    <xf numFmtId="4" fontId="4" fillId="33" borderId="14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3" fontId="13" fillId="34" borderId="0" xfId="0" applyNumberFormat="1" applyFont="1" applyFill="1" applyAlignment="1">
      <alignment/>
    </xf>
    <xf numFmtId="169" fontId="13" fillId="34" borderId="0" xfId="0" applyNumberFormat="1" applyFont="1" applyFill="1" applyAlignment="1">
      <alignment/>
    </xf>
    <xf numFmtId="0" fontId="13" fillId="0" borderId="0" xfId="0" applyFont="1" applyAlignment="1">
      <alignment/>
    </xf>
    <xf numFmtId="164" fontId="13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167" fontId="13" fillId="34" borderId="0" xfId="0" applyNumberFormat="1" applyFont="1" applyFill="1" applyAlignment="1">
      <alignment/>
    </xf>
    <xf numFmtId="2" fontId="13" fillId="34" borderId="0" xfId="0" applyNumberFormat="1" applyFont="1" applyFill="1" applyAlignment="1">
      <alignment/>
    </xf>
    <xf numFmtId="9" fontId="13" fillId="34" borderId="0" xfId="59" applyFont="1" applyFill="1" applyAlignment="1">
      <alignment/>
    </xf>
    <xf numFmtId="0" fontId="10" fillId="34" borderId="0" xfId="0" applyFont="1" applyFill="1" applyAlignment="1">
      <alignment horizontal="center"/>
    </xf>
    <xf numFmtId="166" fontId="10" fillId="34" borderId="0" xfId="0" applyNumberFormat="1" applyFont="1" applyFill="1" applyAlignment="1">
      <alignment horizontal="center"/>
    </xf>
    <xf numFmtId="3" fontId="10" fillId="34" borderId="0" xfId="0" applyNumberFormat="1" applyFont="1" applyFill="1" applyAlignment="1">
      <alignment horizontal="center"/>
    </xf>
    <xf numFmtId="0" fontId="10" fillId="34" borderId="0" xfId="0" applyNumberFormat="1" applyFont="1" applyFill="1" applyAlignment="1">
      <alignment horizontal="center"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166" fontId="10" fillId="34" borderId="11" xfId="44" applyNumberFormat="1" applyFont="1" applyFill="1" applyBorder="1" applyAlignment="1">
      <alignment horizontal="center"/>
    </xf>
    <xf numFmtId="3" fontId="10" fillId="34" borderId="11" xfId="44" applyNumberFormat="1" applyFont="1" applyFill="1" applyBorder="1" applyAlignment="1">
      <alignment horizontal="center"/>
    </xf>
    <xf numFmtId="164" fontId="10" fillId="34" borderId="0" xfId="0" applyNumberFormat="1" applyFont="1" applyFill="1" applyAlignment="1">
      <alignment horizontal="center"/>
    </xf>
    <xf numFmtId="164" fontId="10" fillId="34" borderId="0" xfId="0" applyNumberFormat="1" applyFont="1" applyFill="1" applyBorder="1" applyAlignment="1">
      <alignment horizontal="center"/>
    </xf>
    <xf numFmtId="165" fontId="12" fillId="33" borderId="0" xfId="0" applyNumberFormat="1" applyFont="1" applyFill="1" applyAlignment="1">
      <alignment horizontal="center"/>
    </xf>
    <xf numFmtId="7" fontId="12" fillId="34" borderId="0" xfId="44" applyNumberFormat="1" applyFont="1" applyFill="1" applyAlignment="1">
      <alignment/>
    </xf>
    <xf numFmtId="0" fontId="0" fillId="34" borderId="0" xfId="0" applyFill="1" applyAlignment="1">
      <alignment/>
    </xf>
    <xf numFmtId="164" fontId="10" fillId="0" borderId="0" xfId="0" applyNumberFormat="1" applyFont="1" applyBorder="1" applyAlignment="1" quotePrefix="1">
      <alignment horizontal="center"/>
    </xf>
    <xf numFmtId="2" fontId="10" fillId="0" borderId="0" xfId="0" applyNumberFormat="1" applyFont="1" applyBorder="1" applyAlignment="1" quotePrefix="1">
      <alignment horizontal="center"/>
    </xf>
    <xf numFmtId="164" fontId="10" fillId="0" borderId="0" xfId="0" applyNumberFormat="1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2" fontId="10" fillId="0" borderId="11" xfId="0" applyNumberFormat="1" applyFont="1" applyBorder="1" applyAlignment="1" quotePrefix="1">
      <alignment horizontal="center"/>
    </xf>
    <xf numFmtId="0" fontId="0" fillId="34" borderId="0" xfId="0" applyFill="1" applyAlignment="1">
      <alignment horizontal="center"/>
    </xf>
    <xf numFmtId="166" fontId="10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/>
    </xf>
    <xf numFmtId="166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2" fontId="12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left"/>
    </xf>
    <xf numFmtId="7" fontId="12" fillId="0" borderId="0" xfId="44" applyNumberFormat="1" applyFont="1" applyFill="1" applyAlignment="1">
      <alignment/>
    </xf>
    <xf numFmtId="0" fontId="0" fillId="34" borderId="11" xfId="0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 quotePrefix="1">
      <alignment/>
    </xf>
    <xf numFmtId="1" fontId="10" fillId="34" borderId="0" xfId="0" applyNumberFormat="1" applyFont="1" applyFill="1" applyAlignment="1">
      <alignment/>
    </xf>
    <xf numFmtId="2" fontId="10" fillId="0" borderId="0" xfId="0" applyNumberFormat="1" applyFont="1" applyAlignment="1" quotePrefix="1">
      <alignment/>
    </xf>
    <xf numFmtId="171" fontId="13" fillId="34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34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39" fontId="10" fillId="33" borderId="11" xfId="0" applyNumberFormat="1" applyFont="1" applyFill="1" applyBorder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 wrapText="1"/>
    </xf>
    <xf numFmtId="2" fontId="0" fillId="33" borderId="0" xfId="0" applyNumberFormat="1" applyFill="1" applyAlignment="1">
      <alignment/>
    </xf>
    <xf numFmtId="2" fontId="0" fillId="33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165" fontId="0" fillId="33" borderId="11" xfId="0" applyNumberFormat="1" applyFill="1" applyBorder="1" applyAlignment="1">
      <alignment horizontal="center"/>
    </xf>
    <xf numFmtId="164" fontId="10" fillId="34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14" fillId="0" borderId="0" xfId="53" applyFont="1" applyAlignment="1" applyProtection="1">
      <alignment/>
      <protection/>
    </xf>
    <xf numFmtId="0" fontId="17" fillId="0" borderId="0" xfId="0" applyFont="1" applyAlignment="1">
      <alignment/>
    </xf>
    <xf numFmtId="0" fontId="17" fillId="4" borderId="15" xfId="0" applyFont="1" applyFill="1" applyBorder="1" applyAlignment="1">
      <alignment/>
    </xf>
    <xf numFmtId="0" fontId="16" fillId="4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165" fontId="16" fillId="0" borderId="0" xfId="0" applyNumberFormat="1" applyFont="1" applyAlignment="1">
      <alignment/>
    </xf>
    <xf numFmtId="0" fontId="17" fillId="4" borderId="10" xfId="0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0" fontId="16" fillId="36" borderId="16" xfId="0" applyFont="1" applyFill="1" applyBorder="1" applyAlignment="1">
      <alignment/>
    </xf>
    <xf numFmtId="0" fontId="17" fillId="36" borderId="15" xfId="0" applyFont="1" applyFill="1" applyBorder="1" applyAlignment="1">
      <alignment/>
    </xf>
    <xf numFmtId="0" fontId="17" fillId="37" borderId="11" xfId="0" applyFont="1" applyFill="1" applyBorder="1" applyAlignment="1">
      <alignment/>
    </xf>
    <xf numFmtId="0" fontId="17" fillId="37" borderId="17" xfId="0" applyFont="1" applyFill="1" applyBorder="1" applyAlignment="1">
      <alignment/>
    </xf>
    <xf numFmtId="165" fontId="18" fillId="37" borderId="17" xfId="0" applyNumberFormat="1" applyFont="1" applyFill="1" applyBorder="1" applyAlignment="1">
      <alignment/>
    </xf>
    <xf numFmtId="0" fontId="17" fillId="37" borderId="10" xfId="0" applyFont="1" applyFill="1" applyBorder="1" applyAlignment="1">
      <alignment/>
    </xf>
    <xf numFmtId="165" fontId="16" fillId="37" borderId="10" xfId="0" applyNumberFormat="1" applyFont="1" applyFill="1" applyBorder="1" applyAlignment="1">
      <alignment/>
    </xf>
    <xf numFmtId="165" fontId="16" fillId="37" borderId="15" xfId="0" applyNumberFormat="1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165" fontId="16" fillId="37" borderId="0" xfId="0" applyNumberFormat="1" applyFont="1" applyFill="1" applyBorder="1" applyAlignment="1">
      <alignment/>
    </xf>
    <xf numFmtId="165" fontId="16" fillId="37" borderId="18" xfId="0" applyNumberFormat="1" applyFont="1" applyFill="1" applyBorder="1" applyAlignment="1">
      <alignment/>
    </xf>
    <xf numFmtId="1" fontId="18" fillId="37" borderId="0" xfId="0" applyNumberFormat="1" applyFont="1" applyFill="1" applyBorder="1" applyAlignment="1">
      <alignment/>
    </xf>
    <xf numFmtId="7" fontId="18" fillId="37" borderId="11" xfId="0" applyNumberFormat="1" applyFont="1" applyFill="1" applyBorder="1" applyAlignment="1">
      <alignment/>
    </xf>
    <xf numFmtId="165" fontId="16" fillId="37" borderId="11" xfId="0" applyNumberFormat="1" applyFont="1" applyFill="1" applyBorder="1" applyAlignment="1">
      <alignment/>
    </xf>
    <xf numFmtId="165" fontId="16" fillId="37" borderId="19" xfId="0" applyNumberFormat="1" applyFont="1" applyFill="1" applyBorder="1" applyAlignment="1">
      <alignment/>
    </xf>
    <xf numFmtId="165" fontId="4" fillId="38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2" fontId="4" fillId="39" borderId="0" xfId="0" applyNumberFormat="1" applyFont="1" applyFill="1" applyAlignment="1">
      <alignment/>
    </xf>
    <xf numFmtId="2" fontId="0" fillId="0" borderId="0" xfId="0" applyNumberFormat="1" applyFont="1" applyAlignment="1" quotePrefix="1">
      <alignment horizontal="center"/>
    </xf>
    <xf numFmtId="2" fontId="10" fillId="39" borderId="0" xfId="0" applyNumberFormat="1" applyFont="1" applyFill="1" applyBorder="1" applyAlignment="1">
      <alignment horizontal="center"/>
    </xf>
    <xf numFmtId="2" fontId="10" fillId="39" borderId="0" xfId="0" applyNumberFormat="1" applyFont="1" applyFill="1" applyAlignment="1" quotePrefix="1">
      <alignment horizontal="center"/>
    </xf>
    <xf numFmtId="164" fontId="10" fillId="0" borderId="0" xfId="0" applyNumberFormat="1" applyFont="1" applyFill="1" applyBorder="1" applyAlignment="1" quotePrefix="1">
      <alignment horizontal="center"/>
    </xf>
    <xf numFmtId="0" fontId="17" fillId="40" borderId="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6" fillId="0" borderId="0" xfId="0" applyFont="1" applyAlignment="1">
      <alignment/>
    </xf>
    <xf numFmtId="1" fontId="16" fillId="41" borderId="20" xfId="0" applyNumberFormat="1" applyFont="1" applyFill="1" applyBorder="1" applyAlignment="1">
      <alignment/>
    </xf>
    <xf numFmtId="0" fontId="16" fillId="41" borderId="11" xfId="0" applyFont="1" applyFill="1" applyBorder="1" applyAlignment="1">
      <alignment/>
    </xf>
    <xf numFmtId="1" fontId="16" fillId="41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15" fillId="42" borderId="21" xfId="0" applyFont="1" applyFill="1" applyBorder="1" applyAlignment="1">
      <alignment horizontal="center"/>
    </xf>
    <xf numFmtId="0" fontId="15" fillId="42" borderId="0" xfId="0" applyFont="1" applyFill="1" applyBorder="1" applyAlignment="1">
      <alignment horizontal="center"/>
    </xf>
    <xf numFmtId="0" fontId="15" fillId="42" borderId="22" xfId="0" applyFont="1" applyFill="1" applyBorder="1" applyAlignment="1">
      <alignment horizontal="center"/>
    </xf>
    <xf numFmtId="0" fontId="15" fillId="42" borderId="23" xfId="0" applyFont="1" applyFill="1" applyBorder="1" applyAlignment="1">
      <alignment horizontal="center"/>
    </xf>
    <xf numFmtId="0" fontId="15" fillId="42" borderId="24" xfId="0" applyFont="1" applyFill="1" applyBorder="1" applyAlignment="1">
      <alignment horizontal="center"/>
    </xf>
    <xf numFmtId="0" fontId="15" fillId="42" borderId="25" xfId="0" applyFont="1" applyFill="1" applyBorder="1" applyAlignment="1">
      <alignment horizontal="center"/>
    </xf>
    <xf numFmtId="0" fontId="16" fillId="43" borderId="17" xfId="0" applyFont="1" applyFill="1" applyBorder="1" applyAlignment="1">
      <alignment horizontal="left"/>
    </xf>
    <xf numFmtId="0" fontId="16" fillId="43" borderId="10" xfId="0" applyFont="1" applyFill="1" applyBorder="1" applyAlignment="1">
      <alignment horizontal="center"/>
    </xf>
    <xf numFmtId="0" fontId="16" fillId="4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2</xdr:col>
      <xdr:colOff>390525</xdr:colOff>
      <xdr:row>4</xdr:row>
      <xdr:rowOff>85725</xdr:rowOff>
    </xdr:to>
    <xdr:pic>
      <xdr:nvPicPr>
        <xdr:cNvPr id="1" name="Picture 2" descr="we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view="pageBreakPreview" zoomScaleSheetLayoutView="100" zoomScalePageLayoutView="0" workbookViewId="0" topLeftCell="A1">
      <selection activeCell="C1" sqref="C1:M1"/>
    </sheetView>
  </sheetViews>
  <sheetFormatPr defaultColWidth="9.140625" defaultRowHeight="12.75"/>
  <cols>
    <col min="1" max="2" width="2.7109375" style="0" customWidth="1"/>
    <col min="6" max="6" width="10.140625" style="0" bestFit="1" customWidth="1"/>
    <col min="7" max="7" width="9.28125" style="0" bestFit="1" customWidth="1"/>
    <col min="8" max="8" width="9.7109375" style="0" customWidth="1"/>
    <col min="9" max="9" width="8.00390625" style="0" customWidth="1"/>
    <col min="10" max="10" width="7.8515625" style="0" customWidth="1"/>
    <col min="11" max="11" width="7.00390625" style="1" customWidth="1"/>
    <col min="12" max="12" width="7.28125" style="1" customWidth="1"/>
    <col min="13" max="13" width="7.00390625" style="1" customWidth="1"/>
    <col min="14" max="14" width="8.00390625" style="0" customWidth="1"/>
  </cols>
  <sheetData>
    <row r="1" spans="3:13" ht="15.75">
      <c r="C1" s="208" t="s">
        <v>181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3:14" ht="12.75">
      <c r="C2" s="209" t="s">
        <v>0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"/>
    </row>
    <row r="3" spans="4:12" ht="12.75">
      <c r="D3" s="214" t="s">
        <v>188</v>
      </c>
      <c r="E3" s="215"/>
      <c r="F3" s="215"/>
      <c r="G3" s="215"/>
      <c r="H3" s="215"/>
      <c r="I3" s="215"/>
      <c r="J3" s="215"/>
      <c r="K3" s="215"/>
      <c r="L3" s="215"/>
    </row>
    <row r="4" spans="4:14" ht="15.75" customHeight="1">
      <c r="D4" s="19"/>
      <c r="E4" s="131"/>
      <c r="G4" s="131"/>
      <c r="H4" s="131"/>
      <c r="I4" s="131"/>
      <c r="K4" s="27" t="s">
        <v>121</v>
      </c>
      <c r="M4" s="216">
        <v>41025</v>
      </c>
      <c r="N4" s="217"/>
    </row>
    <row r="5" spans="1:14" s="15" customFormat="1" ht="15.75" customHeight="1">
      <c r="A5"/>
      <c r="B5"/>
      <c r="C5" s="3"/>
      <c r="D5" s="3"/>
      <c r="E5" s="3"/>
      <c r="F5" s="131"/>
      <c r="G5" s="19"/>
      <c r="H5" s="19"/>
      <c r="I5" s="130"/>
      <c r="J5" s="3"/>
      <c r="K5" s="3"/>
      <c r="L5" s="3"/>
      <c r="M5" s="3"/>
      <c r="N5"/>
    </row>
    <row r="6" spans="1:14" s="7" customFormat="1" ht="12.75">
      <c r="A6" s="212" t="s">
        <v>1</v>
      </c>
      <c r="B6" s="212"/>
      <c r="C6" s="212"/>
      <c r="D6" s="212"/>
      <c r="E6" s="6"/>
      <c r="F6" s="212" t="s">
        <v>2</v>
      </c>
      <c r="G6" s="212"/>
      <c r="H6" s="5" t="s">
        <v>104</v>
      </c>
      <c r="I6" s="212" t="s">
        <v>3</v>
      </c>
      <c r="J6" s="212"/>
      <c r="K6" s="211" t="s">
        <v>4</v>
      </c>
      <c r="L6" s="211"/>
      <c r="M6" s="211"/>
      <c r="N6" s="5" t="s">
        <v>5</v>
      </c>
    </row>
    <row r="7" spans="8:14" s="7" customFormat="1" ht="12.75">
      <c r="H7" s="8" t="s">
        <v>105</v>
      </c>
      <c r="I7" s="213" t="s">
        <v>6</v>
      </c>
      <c r="J7" s="213"/>
      <c r="K7" s="9"/>
      <c r="L7" s="9"/>
      <c r="M7" s="9"/>
      <c r="N7" s="8" t="s">
        <v>7</v>
      </c>
    </row>
    <row r="8" spans="1:14" s="7" customFormat="1" ht="12.75">
      <c r="A8" s="10"/>
      <c r="B8" s="10"/>
      <c r="C8" s="10"/>
      <c r="D8" s="10"/>
      <c r="E8" s="10"/>
      <c r="F8" s="10"/>
      <c r="G8" s="10"/>
      <c r="H8" s="10" t="s">
        <v>106</v>
      </c>
      <c r="I8" s="10"/>
      <c r="J8" s="10"/>
      <c r="K8" s="11">
        <v>52</v>
      </c>
      <c r="L8" s="11">
        <v>67</v>
      </c>
      <c r="M8" s="11">
        <v>82</v>
      </c>
      <c r="N8" s="78">
        <v>91</v>
      </c>
    </row>
    <row r="9" spans="1:14" s="15" customFormat="1" ht="12.75">
      <c r="A9" s="4" t="s">
        <v>8</v>
      </c>
      <c r="B9"/>
      <c r="C9"/>
      <c r="D9"/>
      <c r="E9"/>
      <c r="F9"/>
      <c r="G9"/>
      <c r="H9"/>
      <c r="I9"/>
      <c r="J9"/>
      <c r="K9" s="1"/>
      <c r="L9" s="1"/>
      <c r="M9" s="1"/>
      <c r="N9"/>
    </row>
    <row r="10" spans="1:14" s="15" customFormat="1" ht="14.25">
      <c r="A10"/>
      <c r="B10" t="s">
        <v>86</v>
      </c>
      <c r="C10"/>
      <c r="D10"/>
      <c r="E10"/>
      <c r="F10"/>
      <c r="G10"/>
      <c r="H10"/>
      <c r="I10" s="80">
        <v>6.35</v>
      </c>
      <c r="J10" t="s">
        <v>9</v>
      </c>
      <c r="K10" s="68">
        <f>+$I$10*K8</f>
        <v>330.2</v>
      </c>
      <c r="L10" s="68">
        <f>+$I$10*L8</f>
        <v>425.45</v>
      </c>
      <c r="M10" s="68">
        <f>+$I$10*M8</f>
        <v>520.6999999999999</v>
      </c>
      <c r="N10" s="82">
        <f>+$I$10*N8</f>
        <v>577.85</v>
      </c>
    </row>
    <row r="11" spans="2:14" ht="14.25">
      <c r="B11" s="19" t="s">
        <v>66</v>
      </c>
      <c r="C11" s="19"/>
      <c r="D11" s="19"/>
      <c r="E11" s="19"/>
      <c r="F11" s="80">
        <v>1.9</v>
      </c>
      <c r="G11" s="19" t="s">
        <v>112</v>
      </c>
      <c r="H11" s="19"/>
      <c r="I11" s="79">
        <f>IF($F$11-$I10&lt;=0,0,$F$11-$I10)</f>
        <v>0</v>
      </c>
      <c r="J11" s="19"/>
      <c r="K11" s="69">
        <f>IF(G12&lt;=0,0,G12)</f>
        <v>0</v>
      </c>
      <c r="L11" s="69">
        <f>IF(H12&lt;=0,0,H12)</f>
        <v>0</v>
      </c>
      <c r="M11" s="69">
        <f>IF(I12&lt;=0,0,I12)</f>
        <v>0</v>
      </c>
      <c r="N11" s="82">
        <f>IF(J12&lt;=0,0,J12)</f>
        <v>0</v>
      </c>
    </row>
    <row r="12" spans="2:14" ht="12.75">
      <c r="B12" s="19"/>
      <c r="C12" s="19"/>
      <c r="D12" s="19"/>
      <c r="E12" s="19"/>
      <c r="F12" s="19" t="s">
        <v>67</v>
      </c>
      <c r="G12" s="81">
        <f>$K$8*$I$11</f>
        <v>0</v>
      </c>
      <c r="H12" s="81">
        <f>L8*$I$11</f>
        <v>0</v>
      </c>
      <c r="I12" s="81">
        <f>M8*$I$11</f>
        <v>0</v>
      </c>
      <c r="J12" s="81">
        <f>N8*$I$11</f>
        <v>0</v>
      </c>
      <c r="K12" s="69"/>
      <c r="L12" s="69"/>
      <c r="M12" s="69"/>
      <c r="N12" s="86"/>
    </row>
    <row r="13" spans="2:14" ht="14.25">
      <c r="B13" s="19" t="s">
        <v>116</v>
      </c>
      <c r="C13" s="19"/>
      <c r="D13" s="19"/>
      <c r="E13" s="22">
        <v>42.5</v>
      </c>
      <c r="F13" s="22">
        <v>52</v>
      </c>
      <c r="G13" s="22">
        <v>64</v>
      </c>
      <c r="H13" s="83">
        <v>64</v>
      </c>
      <c r="I13" s="80">
        <v>0.52</v>
      </c>
      <c r="J13" s="23"/>
      <c r="K13" s="69">
        <f>E13*$I$13*0.85</f>
        <v>18.785</v>
      </c>
      <c r="L13" s="69">
        <f>F13*$I$13*0.85</f>
        <v>22.983999999999998</v>
      </c>
      <c r="M13" s="69">
        <f>G13*$I$13*0.85</f>
        <v>28.288</v>
      </c>
      <c r="N13" s="82">
        <f>H13*$I$13*0.85</f>
        <v>28.288</v>
      </c>
    </row>
    <row r="14" spans="2:14" ht="12.75">
      <c r="B14" s="19"/>
      <c r="C14" s="19"/>
      <c r="D14" s="19"/>
      <c r="E14" s="23"/>
      <c r="F14" s="23" t="s">
        <v>68</v>
      </c>
      <c r="G14" s="23"/>
      <c r="H14" s="84"/>
      <c r="I14" s="85"/>
      <c r="J14" s="19"/>
      <c r="K14" s="69"/>
      <c r="L14" s="69"/>
      <c r="M14" s="69"/>
      <c r="N14" s="86"/>
    </row>
    <row r="15" spans="2:14" ht="14.25">
      <c r="B15" s="19" t="s">
        <v>117</v>
      </c>
      <c r="C15" s="19"/>
      <c r="D15" s="19"/>
      <c r="E15" s="22">
        <v>46.75</v>
      </c>
      <c r="F15" s="22">
        <v>60.8</v>
      </c>
      <c r="G15" s="22">
        <v>74.8</v>
      </c>
      <c r="H15" s="83">
        <v>74.8</v>
      </c>
      <c r="I15" s="80">
        <v>0</v>
      </c>
      <c r="J15" s="23"/>
      <c r="K15" s="69">
        <f>E15*$I$15*0.85</f>
        <v>0</v>
      </c>
      <c r="L15" s="69">
        <f>F15*$I$15*0.85</f>
        <v>0</v>
      </c>
      <c r="M15" s="69">
        <f>G15*$I$15*0.85</f>
        <v>0</v>
      </c>
      <c r="N15" s="82">
        <f>H15*$I$15*0.85</f>
        <v>0</v>
      </c>
    </row>
    <row r="16" spans="2:14" ht="12.75">
      <c r="B16" s="19"/>
      <c r="C16" s="19"/>
      <c r="D16" s="19"/>
      <c r="E16" s="23"/>
      <c r="F16" s="23"/>
      <c r="G16" s="23"/>
      <c r="H16" s="23"/>
      <c r="I16" s="37"/>
      <c r="J16" s="23"/>
      <c r="K16" s="69"/>
      <c r="L16" s="69"/>
      <c r="M16" s="69"/>
      <c r="N16" s="86"/>
    </row>
    <row r="17" spans="1:14" ht="12.75">
      <c r="A17" s="4" t="s">
        <v>75</v>
      </c>
      <c r="B17" s="19"/>
      <c r="C17" s="19"/>
      <c r="D17" s="19"/>
      <c r="E17" s="23"/>
      <c r="F17" s="23"/>
      <c r="G17" s="23"/>
      <c r="H17" s="23"/>
      <c r="I17" s="37"/>
      <c r="J17" s="23"/>
      <c r="K17" s="69">
        <f>SUM(K10:K15)</f>
        <v>348.985</v>
      </c>
      <c r="L17" s="69">
        <f>SUM(L10:L15)</f>
        <v>448.43399999999997</v>
      </c>
      <c r="M17" s="69">
        <f>SUM(M10:M15)</f>
        <v>548.9879999999999</v>
      </c>
      <c r="N17" s="82">
        <f>SUM(N10:N15)</f>
        <v>606.138</v>
      </c>
    </row>
    <row r="18" spans="1:14" ht="12.75">
      <c r="A18" s="4" t="s">
        <v>10</v>
      </c>
      <c r="K18" s="68"/>
      <c r="L18" s="68"/>
      <c r="M18" s="68"/>
      <c r="N18" s="86"/>
    </row>
    <row r="19" spans="2:14" ht="12.75">
      <c r="B19" t="s">
        <v>11</v>
      </c>
      <c r="F19" s="41">
        <v>1400000</v>
      </c>
      <c r="G19" t="s">
        <v>76</v>
      </c>
      <c r="H19" s="91">
        <v>1400000</v>
      </c>
      <c r="I19" s="92">
        <v>0.029</v>
      </c>
      <c r="J19" t="s">
        <v>77</v>
      </c>
      <c r="K19" s="68">
        <f>$F$19/1000*$I$19</f>
        <v>40.6</v>
      </c>
      <c r="L19" s="68">
        <f>$F$19/1000*$I$19</f>
        <v>40.6</v>
      </c>
      <c r="M19" s="68">
        <f>$F$19/1000*$I$19</f>
        <v>40.6</v>
      </c>
      <c r="N19" s="82">
        <f>$F$19/1000*$I$19</f>
        <v>40.6</v>
      </c>
    </row>
    <row r="20" spans="2:14" ht="14.25">
      <c r="B20" t="s">
        <v>51</v>
      </c>
      <c r="H20" s="93"/>
      <c r="I20" s="93"/>
      <c r="J20" t="s">
        <v>76</v>
      </c>
      <c r="K20" s="68"/>
      <c r="L20" s="68"/>
      <c r="M20" s="68"/>
      <c r="N20" s="86"/>
    </row>
    <row r="21" spans="3:14" ht="12.75">
      <c r="C21" t="s">
        <v>13</v>
      </c>
      <c r="E21" s="44">
        <f>40+(1.75*(K8-50))</f>
        <v>43.5</v>
      </c>
      <c r="F21" s="44">
        <f>40+(1.75*(L8-50))</f>
        <v>69.75</v>
      </c>
      <c r="G21" s="44">
        <f>40+(1.75*(M8-50))</f>
        <v>96</v>
      </c>
      <c r="H21" s="94">
        <f>40+(1.75*(N8-50))</f>
        <v>111.75</v>
      </c>
      <c r="I21" s="135">
        <f>F90/560</f>
        <v>0.7142857142857143</v>
      </c>
      <c r="J21" t="s">
        <v>12</v>
      </c>
      <c r="K21" s="68">
        <f>+$I$21*E21</f>
        <v>31.071428571428573</v>
      </c>
      <c r="L21" s="68">
        <f>+$I$21*F21</f>
        <v>49.82142857142857</v>
      </c>
      <c r="M21" s="68">
        <f>+$I$21*G21</f>
        <v>68.57142857142857</v>
      </c>
      <c r="N21" s="82">
        <f>+$I$21*H21</f>
        <v>79.82142857142857</v>
      </c>
    </row>
    <row r="22" spans="3:14" ht="15.75">
      <c r="C22" t="s">
        <v>52</v>
      </c>
      <c r="E22" s="44">
        <f>K8*0.63</f>
        <v>32.76</v>
      </c>
      <c r="F22" s="44">
        <f>L8*0.63</f>
        <v>42.21</v>
      </c>
      <c r="G22" s="44">
        <f>M8*0.63</f>
        <v>51.660000000000004</v>
      </c>
      <c r="H22" s="94">
        <f>N8*0.63</f>
        <v>57.33</v>
      </c>
      <c r="I22" s="135">
        <f>I90/1040</f>
        <v>0.6634615384615384</v>
      </c>
      <c r="J22" t="s">
        <v>12</v>
      </c>
      <c r="K22" s="68">
        <f>+$I$22*E22</f>
        <v>21.735</v>
      </c>
      <c r="L22" s="68">
        <f>+$I$22*F22</f>
        <v>28.00471153846154</v>
      </c>
      <c r="M22" s="68">
        <f>+$I$22*G22</f>
        <v>34.27442307692308</v>
      </c>
      <c r="N22" s="82">
        <f>+$I$22*H22</f>
        <v>38.036249999999995</v>
      </c>
    </row>
    <row r="23" spans="3:14" ht="15.75">
      <c r="C23" t="s">
        <v>53</v>
      </c>
      <c r="E23" s="44">
        <f>(K8*0.37)+20</f>
        <v>39.239999999999995</v>
      </c>
      <c r="F23" s="44">
        <f>(L8*0.37)+20</f>
        <v>44.79</v>
      </c>
      <c r="G23" s="44">
        <f>(M8*0.37)+20</f>
        <v>50.34</v>
      </c>
      <c r="H23" s="94">
        <f>(N8*0.37)+20</f>
        <v>53.67</v>
      </c>
      <c r="I23" s="135">
        <f>M90/1200</f>
        <v>0.525</v>
      </c>
      <c r="J23" t="s">
        <v>12</v>
      </c>
      <c r="K23" s="68">
        <f>+$I$23*E23</f>
        <v>20.601</v>
      </c>
      <c r="L23" s="68">
        <f>+$I$23*F23</f>
        <v>23.51475</v>
      </c>
      <c r="M23" s="68">
        <f>+$I$23*G23</f>
        <v>26.428500000000003</v>
      </c>
      <c r="N23" s="82">
        <f>+$I$23*H23</f>
        <v>28.176750000000002</v>
      </c>
    </row>
    <row r="24" spans="3:14" ht="12.75">
      <c r="C24" t="s">
        <v>14</v>
      </c>
      <c r="F24" s="95">
        <v>0.25</v>
      </c>
      <c r="H24" s="93"/>
      <c r="I24" s="95">
        <v>25</v>
      </c>
      <c r="J24" t="s">
        <v>15</v>
      </c>
      <c r="K24" s="68">
        <f>+F24*I24</f>
        <v>6.25</v>
      </c>
      <c r="L24" s="68">
        <f>+F24*I24</f>
        <v>6.25</v>
      </c>
      <c r="M24" s="68">
        <f>+$F$24*$I$24</f>
        <v>6.25</v>
      </c>
      <c r="N24" s="82">
        <f>+$F$24*$I$24</f>
        <v>6.25</v>
      </c>
    </row>
    <row r="25" spans="2:14" ht="14.25">
      <c r="B25" t="s">
        <v>54</v>
      </c>
      <c r="D25" s="19" t="s">
        <v>156</v>
      </c>
      <c r="H25" s="93"/>
      <c r="I25" s="93"/>
      <c r="K25" s="68">
        <v>21.34</v>
      </c>
      <c r="L25" s="68">
        <v>21.34</v>
      </c>
      <c r="M25" s="68">
        <v>21.34</v>
      </c>
      <c r="N25" s="87">
        <v>21.34</v>
      </c>
    </row>
    <row r="26" spans="4:15" ht="12.75">
      <c r="D26" s="19" t="s">
        <v>157</v>
      </c>
      <c r="H26" s="93"/>
      <c r="I26" s="93"/>
      <c r="K26" s="68">
        <v>0</v>
      </c>
      <c r="L26" s="68">
        <v>0</v>
      </c>
      <c r="M26" s="68">
        <v>0</v>
      </c>
      <c r="N26" s="87">
        <v>0</v>
      </c>
      <c r="O26" s="68"/>
    </row>
    <row r="27" spans="4:14" ht="12.75">
      <c r="D27" s="19" t="s">
        <v>158</v>
      </c>
      <c r="H27" s="93"/>
      <c r="I27" s="93"/>
      <c r="K27" s="68">
        <v>0</v>
      </c>
      <c r="L27" s="68">
        <v>0</v>
      </c>
      <c r="M27" s="68">
        <v>0</v>
      </c>
      <c r="N27" s="87">
        <v>0</v>
      </c>
    </row>
    <row r="28" spans="2:14" ht="12.75">
      <c r="B28" t="s">
        <v>16</v>
      </c>
      <c r="F28" s="194">
        <v>4</v>
      </c>
      <c r="G28" s="195" t="s">
        <v>161</v>
      </c>
      <c r="H28" s="19"/>
      <c r="I28" s="91">
        <v>30</v>
      </c>
      <c r="J28" s="19" t="s">
        <v>162</v>
      </c>
      <c r="K28" s="20">
        <f>(((($I$28/6)*$F$28)/900)*K8)+(((($I$28/6)*$F$28)/900)*K8)*0.1</f>
        <v>1.2711111111111113</v>
      </c>
      <c r="L28" s="20">
        <f>(((($I$28/6)*$F$28)/900)*L8)+(((($I$28/6)*$F$28)/900)*L8)*0.1</f>
        <v>1.6377777777777778</v>
      </c>
      <c r="M28" s="20">
        <f>(((($I$28/6)*$F$28)/900)*M8)+(((($I$28/6)*$F$28)/900)*M8)*0.1</f>
        <v>2.0044444444444443</v>
      </c>
      <c r="N28" s="197">
        <f>(((($I$28/6)*$F$28)/900)*N8)+(((($I$28/6)*$F$28)/900)*N8)*0.1</f>
        <v>2.2244444444444444</v>
      </c>
    </row>
    <row r="29" spans="2:14" ht="14.25">
      <c r="B29" t="s">
        <v>55</v>
      </c>
      <c r="K29" s="68">
        <f>$K$119</f>
        <v>16.641058823529413</v>
      </c>
      <c r="L29" s="68">
        <f>$K$119</f>
        <v>16.641058823529413</v>
      </c>
      <c r="M29" s="68">
        <f>$K$119</f>
        <v>16.641058823529413</v>
      </c>
      <c r="N29" s="82">
        <f>$K$119</f>
        <v>16.641058823529413</v>
      </c>
    </row>
    <row r="30" spans="2:14" ht="14.25">
      <c r="B30" t="s">
        <v>56</v>
      </c>
      <c r="K30" s="68">
        <f>+$M$119</f>
        <v>14.38516637029825</v>
      </c>
      <c r="L30" s="68">
        <f>+$M$119</f>
        <v>14.38516637029825</v>
      </c>
      <c r="M30" s="68">
        <f>+$M$119</f>
        <v>14.38516637029825</v>
      </c>
      <c r="N30" s="82">
        <f>+$M$119</f>
        <v>14.38516637029825</v>
      </c>
    </row>
    <row r="31" spans="2:14" ht="12.75">
      <c r="B31" t="s">
        <v>85</v>
      </c>
      <c r="K31" s="68">
        <v>14</v>
      </c>
      <c r="L31" s="68">
        <v>14</v>
      </c>
      <c r="M31" s="68">
        <v>14</v>
      </c>
      <c r="N31" s="87">
        <v>15</v>
      </c>
    </row>
    <row r="32" spans="2:14" ht="14.25">
      <c r="B32" t="s">
        <v>57</v>
      </c>
      <c r="K32" s="68">
        <v>6</v>
      </c>
      <c r="L32" s="68">
        <v>6</v>
      </c>
      <c r="M32" s="68">
        <v>6</v>
      </c>
      <c r="N32" s="87">
        <v>6</v>
      </c>
    </row>
    <row r="33" spans="2:14" ht="14.25">
      <c r="B33" t="s">
        <v>58</v>
      </c>
      <c r="E33" s="13"/>
      <c r="F33" s="96">
        <v>8</v>
      </c>
      <c r="G33" t="s">
        <v>17</v>
      </c>
      <c r="I33" s="97">
        <v>0.06</v>
      </c>
      <c r="K33" s="68">
        <f>(SUM(K19:K32)-K28)*$I$33*($F$33/12)</f>
        <v>7.704946150610248</v>
      </c>
      <c r="L33" s="68">
        <f>(SUM(L19:L32)-L28)*$I$33*($F$33/12)</f>
        <v>8.822284612148712</v>
      </c>
      <c r="M33" s="68">
        <f>(SUM(M19:M32)-M28)*$I$33*($F$33/12)</f>
        <v>9.939623073687173</v>
      </c>
      <c r="N33" s="82">
        <f>(SUM(N19:N32)-N28)*$I$33*($F$33/12)</f>
        <v>10.65002615061025</v>
      </c>
    </row>
    <row r="34" spans="2:14" ht="14.25">
      <c r="B34" t="s">
        <v>59</v>
      </c>
      <c r="K34" s="68">
        <v>0</v>
      </c>
      <c r="L34" s="68">
        <v>0</v>
      </c>
      <c r="M34" s="68">
        <v>0</v>
      </c>
      <c r="N34" s="87">
        <v>0</v>
      </c>
    </row>
    <row r="35" spans="11:14" ht="12.75">
      <c r="K35" s="70"/>
      <c r="L35" s="70"/>
      <c r="M35" s="70"/>
      <c r="N35" s="88"/>
    </row>
    <row r="36" spans="1:14" ht="12.75">
      <c r="A36" s="4" t="s">
        <v>18</v>
      </c>
      <c r="F36" s="14" t="s">
        <v>19</v>
      </c>
      <c r="K36" s="68">
        <f>SUM(K19:K35)</f>
        <v>201.5997110269776</v>
      </c>
      <c r="L36" s="68">
        <f>SUM(L19:L35)</f>
        <v>231.0171776936443</v>
      </c>
      <c r="M36" s="68">
        <f>SUM(M19:M35)</f>
        <v>260.434644360311</v>
      </c>
      <c r="N36" s="82">
        <f>SUM(N19:N35)</f>
        <v>279.12512436031096</v>
      </c>
    </row>
    <row r="37" spans="6:14" ht="12.75">
      <c r="F37" s="14" t="s">
        <v>20</v>
      </c>
      <c r="K37" s="68">
        <f>+K36/K8</f>
        <v>3.876917519749569</v>
      </c>
      <c r="L37" s="68">
        <f>+L36/L8</f>
        <v>3.448017577517079</v>
      </c>
      <c r="M37" s="68">
        <f>+M36/M8</f>
        <v>3.1760322482964756</v>
      </c>
      <c r="N37" s="82">
        <f>+N36/N8</f>
        <v>3.067309058904516</v>
      </c>
    </row>
    <row r="38" spans="1:14" ht="12.75">
      <c r="A38" s="4" t="s">
        <v>21</v>
      </c>
      <c r="K38" s="68"/>
      <c r="L38" s="68"/>
      <c r="M38" s="68"/>
      <c r="N38" s="86"/>
    </row>
    <row r="39" spans="2:14" ht="14.25">
      <c r="B39" t="s">
        <v>60</v>
      </c>
      <c r="F39" s="95">
        <v>2</v>
      </c>
      <c r="G39" t="s">
        <v>22</v>
      </c>
      <c r="I39" s="98">
        <v>13.5</v>
      </c>
      <c r="J39" t="s">
        <v>23</v>
      </c>
      <c r="K39" s="68">
        <f>+$F$39*$I$39</f>
        <v>27</v>
      </c>
      <c r="L39" s="68">
        <f>+$F$39*$I$39</f>
        <v>27</v>
      </c>
      <c r="M39" s="68">
        <f>+$F$39*$I$39</f>
        <v>27</v>
      </c>
      <c r="N39" s="82">
        <f>+$F$39*$I$39</f>
        <v>27</v>
      </c>
    </row>
    <row r="40" spans="2:14" ht="12.75">
      <c r="B40" t="s">
        <v>24</v>
      </c>
      <c r="F40" s="99">
        <v>0.05</v>
      </c>
      <c r="G40" t="s">
        <v>25</v>
      </c>
      <c r="K40" s="68">
        <f>$F$40*K10</f>
        <v>16.51</v>
      </c>
      <c r="L40" s="68">
        <f>$F$40*L10</f>
        <v>21.2725</v>
      </c>
      <c r="M40" s="68">
        <f>$F$40*M10</f>
        <v>26.034999999999997</v>
      </c>
      <c r="N40" s="82">
        <f>$F$40*N10</f>
        <v>28.892500000000002</v>
      </c>
    </row>
    <row r="41" spans="2:14" ht="14.25">
      <c r="B41" t="s">
        <v>61</v>
      </c>
      <c r="K41" s="68">
        <f>+$I$119</f>
        <v>99.08061979166668</v>
      </c>
      <c r="L41" s="68">
        <f>+$I$119</f>
        <v>99.08061979166668</v>
      </c>
      <c r="M41" s="68">
        <f>+$I$119</f>
        <v>99.08061979166668</v>
      </c>
      <c r="N41" s="82">
        <f>+$I$119</f>
        <v>99.08061979166668</v>
      </c>
    </row>
    <row r="42" spans="2:14" ht="14.25">
      <c r="B42" t="s">
        <v>62</v>
      </c>
      <c r="K42" s="69">
        <v>100</v>
      </c>
      <c r="L42" s="69">
        <v>150</v>
      </c>
      <c r="M42" s="69">
        <v>200</v>
      </c>
      <c r="N42" s="87">
        <v>250</v>
      </c>
    </row>
    <row r="43" spans="11:14" ht="12.75">
      <c r="K43" s="70"/>
      <c r="L43" s="70"/>
      <c r="M43" s="70"/>
      <c r="N43" s="88"/>
    </row>
    <row r="44" spans="1:14" ht="12.75">
      <c r="A44" s="4" t="s">
        <v>26</v>
      </c>
      <c r="K44" s="68">
        <f>SUM(K39:K43)</f>
        <v>242.59061979166668</v>
      </c>
      <c r="L44" s="68">
        <f>SUM(L39:L43)</f>
        <v>297.3531197916667</v>
      </c>
      <c r="M44" s="68">
        <f>SUM(M39:M43)</f>
        <v>352.1156197916667</v>
      </c>
      <c r="N44" s="82">
        <f>SUM(N39:N43)</f>
        <v>404.9731197916667</v>
      </c>
    </row>
    <row r="45" spans="11:14" ht="12.75">
      <c r="K45" s="68"/>
      <c r="L45" s="68"/>
      <c r="M45" s="68"/>
      <c r="N45" s="86"/>
    </row>
    <row r="46" spans="1:14" ht="12.75">
      <c r="A46" s="4" t="s">
        <v>27</v>
      </c>
      <c r="F46" s="14" t="s">
        <v>19</v>
      </c>
      <c r="K46" s="68">
        <f>+K36+K44</f>
        <v>444.19033081864427</v>
      </c>
      <c r="L46" s="68">
        <f>+L36+L44</f>
        <v>528.370297485311</v>
      </c>
      <c r="M46" s="68">
        <f>+M36+M44</f>
        <v>612.5502641519777</v>
      </c>
      <c r="N46" s="82">
        <f>+N36+N44</f>
        <v>684.0982441519777</v>
      </c>
    </row>
    <row r="47" spans="1:14" ht="12.75">
      <c r="A47" s="4"/>
      <c r="F47" s="14" t="s">
        <v>20</v>
      </c>
      <c r="K47" s="72">
        <f>+(K44/45)+K37</f>
        <v>9.267820181786606</v>
      </c>
      <c r="L47" s="72">
        <f>+(L44/60)+L37</f>
        <v>8.40390290737819</v>
      </c>
      <c r="M47" s="72">
        <f>+(M44/75)+M37</f>
        <v>7.870907178852031</v>
      </c>
      <c r="N47" s="90">
        <f>+(N44/75)+N37</f>
        <v>8.46695065612674</v>
      </c>
    </row>
    <row r="48" spans="1:14" ht="14.25">
      <c r="A48" s="4" t="s">
        <v>63</v>
      </c>
      <c r="K48" s="68">
        <f>+K51+K40+K39</f>
        <v>-51.69533081864425</v>
      </c>
      <c r="L48" s="68">
        <f>+L51+L40+L39</f>
        <v>-31.663797485311</v>
      </c>
      <c r="M48" s="68">
        <f>+M51+M40+M39</f>
        <v>-10.527264151977732</v>
      </c>
      <c r="N48" s="136">
        <f>+N51+N40+N39</f>
        <v>-22.067744151977692</v>
      </c>
    </row>
    <row r="49" spans="1:14" ht="12.75">
      <c r="A49" s="4" t="s">
        <v>124</v>
      </c>
      <c r="K49" s="68">
        <f>K51+K42</f>
        <v>4.794669181355744</v>
      </c>
      <c r="L49" s="68">
        <f>L51+L42</f>
        <v>70.063702514689</v>
      </c>
      <c r="M49" s="68">
        <f>M51+M42</f>
        <v>136.43773584802227</v>
      </c>
      <c r="N49" s="136">
        <f>N51+N42</f>
        <v>172.0397558480223</v>
      </c>
    </row>
    <row r="50" spans="1:14" ht="12.75">
      <c r="A50" s="4" t="s">
        <v>28</v>
      </c>
      <c r="K50" s="68">
        <f>+K17-K36</f>
        <v>147.38528897302243</v>
      </c>
      <c r="L50" s="68">
        <f>+L17-L36</f>
        <v>217.41682230635567</v>
      </c>
      <c r="M50" s="68">
        <f>+M17-M36</f>
        <v>288.55335563968896</v>
      </c>
      <c r="N50" s="82">
        <f>+N17-N36</f>
        <v>327.01287563968907</v>
      </c>
    </row>
    <row r="51" spans="1:14" ht="13.5" thickBot="1">
      <c r="A51" s="4" t="s">
        <v>29</v>
      </c>
      <c r="K51" s="68">
        <f>+K17-K46</f>
        <v>-95.20533081864426</v>
      </c>
      <c r="L51" s="68">
        <f>+L17-L46</f>
        <v>-79.936297485311</v>
      </c>
      <c r="M51" s="68">
        <f>+M17-M46</f>
        <v>-63.56226415197773</v>
      </c>
      <c r="N51" s="89">
        <f>+N17-N46</f>
        <v>-77.96024415197769</v>
      </c>
    </row>
    <row r="52" spans="11:14" s="16" customFormat="1" ht="9" customHeight="1">
      <c r="K52" s="71"/>
      <c r="L52" s="71"/>
      <c r="M52" s="71"/>
      <c r="N52" s="7"/>
    </row>
    <row r="53" spans="1:14" ht="12.75">
      <c r="A53" s="4" t="s">
        <v>30</v>
      </c>
      <c r="E53">
        <v>1</v>
      </c>
      <c r="F53">
        <v>1.1</v>
      </c>
      <c r="G53">
        <v>1.2</v>
      </c>
      <c r="H53" s="95">
        <v>1.2</v>
      </c>
      <c r="I53" s="95">
        <v>100</v>
      </c>
      <c r="J53" t="s">
        <v>15</v>
      </c>
      <c r="K53" s="68">
        <f>+E53*$I$53</f>
        <v>100</v>
      </c>
      <c r="L53" s="68">
        <f>+F53*$I$53</f>
        <v>110.00000000000001</v>
      </c>
      <c r="M53" s="68">
        <f>+G53*$I$53</f>
        <v>120</v>
      </c>
      <c r="N53" s="82">
        <f>+H53*$I$53</f>
        <v>120</v>
      </c>
    </row>
    <row r="54" spans="1:14" ht="12.75">
      <c r="A54" s="4" t="s">
        <v>31</v>
      </c>
      <c r="H54" s="93"/>
      <c r="I54" s="93"/>
      <c r="K54" s="68"/>
      <c r="L54" s="68"/>
      <c r="M54" s="68"/>
      <c r="N54" s="7"/>
    </row>
    <row r="55" spans="1:14" ht="14.25">
      <c r="A55" s="4"/>
      <c r="B55" t="s">
        <v>51</v>
      </c>
      <c r="H55" s="93"/>
      <c r="I55" s="93"/>
      <c r="K55" s="68"/>
      <c r="L55" s="68"/>
      <c r="M55" s="68"/>
      <c r="N55" s="7"/>
    </row>
    <row r="56" spans="1:14" ht="15.75">
      <c r="A56" s="4"/>
      <c r="C56" t="s">
        <v>52</v>
      </c>
      <c r="E56" s="44">
        <f>K8*0.09</f>
        <v>4.68</v>
      </c>
      <c r="F56" s="44">
        <f>L8*0.09</f>
        <v>6.029999999999999</v>
      </c>
      <c r="G56" s="44">
        <f>M8*0.09</f>
        <v>7.38</v>
      </c>
      <c r="H56" s="94">
        <f>N8*0.09</f>
        <v>8.19</v>
      </c>
      <c r="I56" s="135">
        <f>I90/1040</f>
        <v>0.6634615384615384</v>
      </c>
      <c r="J56" t="s">
        <v>12</v>
      </c>
      <c r="K56" s="68">
        <f>+$I$56*E56</f>
        <v>3.1049999999999995</v>
      </c>
      <c r="L56" s="68">
        <f>+$I$56*F56</f>
        <v>4.000673076923077</v>
      </c>
      <c r="M56" s="68">
        <f>+$I$56*G56</f>
        <v>4.896346153846154</v>
      </c>
      <c r="N56" s="82">
        <f>+$I$56*H56</f>
        <v>5.43375</v>
      </c>
    </row>
    <row r="57" spans="1:14" ht="15.75">
      <c r="A57" s="4"/>
      <c r="C57" t="s">
        <v>53</v>
      </c>
      <c r="E57" s="44">
        <f>(K8*0.91)</f>
        <v>47.32</v>
      </c>
      <c r="F57" s="44">
        <f>(L8*0.91)</f>
        <v>60.97</v>
      </c>
      <c r="G57" s="44">
        <f>(M8*0.91)</f>
        <v>74.62</v>
      </c>
      <c r="H57" s="94">
        <f>(N8*0.91)</f>
        <v>82.81</v>
      </c>
      <c r="I57" s="135">
        <f>M90/1200</f>
        <v>0.525</v>
      </c>
      <c r="J57" t="s">
        <v>12</v>
      </c>
      <c r="K57" s="68">
        <f>+$I$57*E57</f>
        <v>24.843</v>
      </c>
      <c r="L57" s="68">
        <f>+$I$57*F57</f>
        <v>32.00925</v>
      </c>
      <c r="M57" s="68">
        <f>+$I$57*G57</f>
        <v>39.17550000000001</v>
      </c>
      <c r="N57" s="82">
        <f>+$I$57*H57</f>
        <v>43.47525</v>
      </c>
    </row>
    <row r="58" spans="2:14" ht="14.25">
      <c r="B58" t="s">
        <v>55</v>
      </c>
      <c r="K58" s="68">
        <f>+$K$141</f>
        <v>3.0415</v>
      </c>
      <c r="L58" s="68">
        <f>+$K$141</f>
        <v>3.0415</v>
      </c>
      <c r="M58" s="68">
        <f>+$K$141</f>
        <v>3.0415</v>
      </c>
      <c r="N58" s="82">
        <f>+$K$141</f>
        <v>3.0415</v>
      </c>
    </row>
    <row r="59" spans="2:14" ht="14.25">
      <c r="B59" t="s">
        <v>56</v>
      </c>
      <c r="K59" s="68">
        <f>+$M$141</f>
        <v>2.89</v>
      </c>
      <c r="L59" s="68">
        <f>+$M$141</f>
        <v>2.89</v>
      </c>
      <c r="M59" s="68">
        <f>+$M$141</f>
        <v>2.89</v>
      </c>
      <c r="N59" s="82">
        <f>+$M$141</f>
        <v>2.89</v>
      </c>
    </row>
    <row r="60" spans="2:14" ht="12.75">
      <c r="B60" t="s">
        <v>32</v>
      </c>
      <c r="K60" s="68">
        <v>2</v>
      </c>
      <c r="L60" s="68">
        <v>2</v>
      </c>
      <c r="M60" s="68">
        <v>2</v>
      </c>
      <c r="N60" s="87">
        <v>2</v>
      </c>
    </row>
    <row r="61" spans="2:14" ht="14.25">
      <c r="B61" t="s">
        <v>59</v>
      </c>
      <c r="K61" s="68">
        <v>0</v>
      </c>
      <c r="L61" s="68">
        <v>0</v>
      </c>
      <c r="M61" s="68">
        <v>0</v>
      </c>
      <c r="N61" s="87">
        <v>0</v>
      </c>
    </row>
    <row r="62" spans="1:14" ht="12.75">
      <c r="A62" s="4" t="s">
        <v>100</v>
      </c>
      <c r="K62" s="68">
        <f>SUM(K56:K61)</f>
        <v>35.8795</v>
      </c>
      <c r="L62" s="68">
        <f>SUM(L56:L61)</f>
        <v>43.94142307692308</v>
      </c>
      <c r="M62" s="68">
        <f>SUM(M56:M61)</f>
        <v>52.00334615384616</v>
      </c>
      <c r="N62" s="82">
        <f>SUM(N56:N61)</f>
        <v>56.840500000000006</v>
      </c>
    </row>
    <row r="63" spans="1:14" ht="12.75">
      <c r="A63" s="4" t="s">
        <v>33</v>
      </c>
      <c r="K63" s="68"/>
      <c r="L63" s="68"/>
      <c r="M63" s="68"/>
      <c r="N63" s="7"/>
    </row>
    <row r="64" spans="2:14" ht="14.25">
      <c r="B64" t="s">
        <v>60</v>
      </c>
      <c r="F64" s="95">
        <v>0.5</v>
      </c>
      <c r="G64" t="s">
        <v>22</v>
      </c>
      <c r="I64" s="98">
        <v>13.5</v>
      </c>
      <c r="J64" t="s">
        <v>34</v>
      </c>
      <c r="K64" s="68">
        <f>$F$64*$I$64</f>
        <v>6.75</v>
      </c>
      <c r="L64" s="68">
        <f>$F$64*$I$64</f>
        <v>6.75</v>
      </c>
      <c r="M64" s="68">
        <f>$F$64*$I$64</f>
        <v>6.75</v>
      </c>
      <c r="N64" s="82">
        <f>$F$64*$I$64</f>
        <v>6.75</v>
      </c>
    </row>
    <row r="65" spans="2:14" ht="12.75">
      <c r="B65" t="s">
        <v>24</v>
      </c>
      <c r="F65" s="99">
        <v>0.05</v>
      </c>
      <c r="G65" t="s">
        <v>25</v>
      </c>
      <c r="K65" s="68">
        <f>$F$65*K53</f>
        <v>5</v>
      </c>
      <c r="L65" s="68">
        <f>$F$65*L53</f>
        <v>5.500000000000001</v>
      </c>
      <c r="M65" s="68">
        <f>$F$65*M53</f>
        <v>6</v>
      </c>
      <c r="N65" s="82">
        <f>$F$65*N53</f>
        <v>6</v>
      </c>
    </row>
    <row r="66" spans="2:14" ht="14.25">
      <c r="B66" t="s">
        <v>64</v>
      </c>
      <c r="K66" s="68">
        <f>$I$141</f>
        <v>9.24965625</v>
      </c>
      <c r="L66" s="68">
        <f>+$I$141</f>
        <v>9.24965625</v>
      </c>
      <c r="M66" s="68">
        <f>+$I$141</f>
        <v>9.24965625</v>
      </c>
      <c r="N66" s="82">
        <f>+$I$141</f>
        <v>9.24965625</v>
      </c>
    </row>
    <row r="67" spans="1:14" ht="12.75">
      <c r="A67" s="4" t="s">
        <v>26</v>
      </c>
      <c r="K67" s="68">
        <f>SUM(K64:K66)</f>
        <v>20.99965625</v>
      </c>
      <c r="L67" s="68">
        <f>SUM(L64:L66)</f>
        <v>21.49965625</v>
      </c>
      <c r="M67" s="68">
        <f>SUM(M64:M66)</f>
        <v>21.99965625</v>
      </c>
      <c r="N67" s="82">
        <f>SUM(N64:N66)</f>
        <v>21.99965625</v>
      </c>
    </row>
    <row r="68" spans="1:14" ht="12.75">
      <c r="A68" s="4" t="s">
        <v>99</v>
      </c>
      <c r="K68" s="68">
        <f>+K62+K67</f>
        <v>56.87915625</v>
      </c>
      <c r="L68" s="68">
        <f>+L62+L67</f>
        <v>65.44107932692307</v>
      </c>
      <c r="M68" s="68">
        <f>+M62+M67</f>
        <v>74.00300240384615</v>
      </c>
      <c r="N68" s="82">
        <f>+N62+N67</f>
        <v>78.84015625</v>
      </c>
    </row>
    <row r="69" spans="1:14" ht="14.25">
      <c r="A69" s="7" t="s">
        <v>65</v>
      </c>
      <c r="B69" s="15"/>
      <c r="C69" s="15"/>
      <c r="D69" s="15"/>
      <c r="E69" s="15"/>
      <c r="F69" s="15"/>
      <c r="G69" s="15"/>
      <c r="H69" s="15"/>
      <c r="I69" s="15"/>
      <c r="J69" s="15"/>
      <c r="K69" s="141">
        <f>+K71+K65+K64</f>
        <v>54.87084375</v>
      </c>
      <c r="L69" s="141">
        <f>+L71+L65+L64</f>
        <v>56.80892067307694</v>
      </c>
      <c r="M69" s="141">
        <f>+M71+M65+M64</f>
        <v>58.74699759615385</v>
      </c>
      <c r="N69" s="136">
        <f>+N71+N65+N64</f>
        <v>53.90984374999999</v>
      </c>
    </row>
    <row r="70" spans="1:14" ht="12.75">
      <c r="A70" s="4" t="s">
        <v>35</v>
      </c>
      <c r="K70" s="68">
        <f>+K53-K62</f>
        <v>64.12049999999999</v>
      </c>
      <c r="L70" s="68">
        <f>+L53-L62</f>
        <v>66.05857692307694</v>
      </c>
      <c r="M70" s="68">
        <f>+M53-M62</f>
        <v>67.99665384615383</v>
      </c>
      <c r="N70" s="82">
        <f>+N53-N62</f>
        <v>63.159499999999994</v>
      </c>
    </row>
    <row r="71" spans="1:14" ht="12.75">
      <c r="A71" s="4" t="s">
        <v>36</v>
      </c>
      <c r="K71" s="68">
        <f>+K53-K68</f>
        <v>43.12084375</v>
      </c>
      <c r="L71" s="68">
        <f>+L53-L68</f>
        <v>44.55892067307694</v>
      </c>
      <c r="M71" s="68">
        <f>+M53-M68</f>
        <v>45.99699759615385</v>
      </c>
      <c r="N71" s="82">
        <f>+N53-N68</f>
        <v>41.15984374999999</v>
      </c>
    </row>
    <row r="72" spans="3:13" s="15" customFormat="1" ht="3.75" customHeight="1">
      <c r="C72" s="7"/>
      <c r="K72" s="17"/>
      <c r="L72" s="17"/>
      <c r="M72" s="17"/>
    </row>
    <row r="73" spans="1:13" ht="12.75">
      <c r="A73" s="39" t="s">
        <v>107</v>
      </c>
      <c r="B73" s="39"/>
      <c r="C73" s="39"/>
      <c r="D73" s="74"/>
      <c r="E73" s="39"/>
      <c r="F73" s="39"/>
      <c r="G73" s="39"/>
      <c r="H73" s="39"/>
      <c r="I73" s="39"/>
      <c r="J73" s="39"/>
      <c r="K73" s="39"/>
      <c r="L73" s="40"/>
      <c r="M73" s="40"/>
    </row>
    <row r="74" spans="2:13" ht="12.75">
      <c r="B74" s="39" t="s">
        <v>108</v>
      </c>
      <c r="C74" s="39"/>
      <c r="D74" s="39"/>
      <c r="E74" s="39"/>
      <c r="F74" s="39"/>
      <c r="G74" s="39"/>
      <c r="H74" s="39"/>
      <c r="I74" s="39"/>
      <c r="J74" s="39"/>
      <c r="K74" s="39"/>
      <c r="L74" s="40"/>
      <c r="M74" s="40"/>
    </row>
    <row r="75" spans="1:13" ht="12.75">
      <c r="A75" s="39" t="s">
        <v>109</v>
      </c>
      <c r="B75" s="39"/>
      <c r="C75" s="39"/>
      <c r="D75" s="75"/>
      <c r="E75" s="76"/>
      <c r="F75" s="39"/>
      <c r="G75" s="39"/>
      <c r="H75" s="39"/>
      <c r="I75" s="39"/>
      <c r="J75" s="39"/>
      <c r="K75" s="39"/>
      <c r="L75" s="40"/>
      <c r="M75" s="40"/>
    </row>
    <row r="76" spans="1:13" ht="12.75">
      <c r="A76" s="39"/>
      <c r="B76" s="39" t="s">
        <v>110</v>
      </c>
      <c r="C76" s="39"/>
      <c r="D76" s="76"/>
      <c r="E76" s="76"/>
      <c r="F76" s="39"/>
      <c r="G76" s="39"/>
      <c r="H76" s="39"/>
      <c r="I76" s="39"/>
      <c r="J76" s="39"/>
      <c r="K76" s="39"/>
      <c r="L76" s="40"/>
      <c r="M76" s="40"/>
    </row>
    <row r="77" spans="1:13" ht="12.75">
      <c r="A77" s="39" t="s">
        <v>111</v>
      </c>
      <c r="B77" s="39"/>
      <c r="C77" s="39"/>
      <c r="D77" s="77"/>
      <c r="E77" s="39"/>
      <c r="F77" s="39"/>
      <c r="G77" s="39"/>
      <c r="H77" s="39"/>
      <c r="I77" s="39"/>
      <c r="J77" s="39"/>
      <c r="K77" s="39"/>
      <c r="L77" s="40"/>
      <c r="M77" s="40"/>
    </row>
    <row r="78" spans="1:13" ht="13.5">
      <c r="A78" s="38">
        <v>1</v>
      </c>
      <c r="B78" s="39" t="s">
        <v>186</v>
      </c>
      <c r="C78" s="39"/>
      <c r="D78" s="39"/>
      <c r="E78" s="39"/>
      <c r="F78" s="39"/>
      <c r="G78" s="39"/>
      <c r="H78" s="39"/>
      <c r="K78" s="13"/>
      <c r="L78" s="13"/>
      <c r="M78" s="13"/>
    </row>
    <row r="79" spans="1:13" ht="13.5">
      <c r="A79" s="38">
        <v>2</v>
      </c>
      <c r="B79" s="39" t="s">
        <v>69</v>
      </c>
      <c r="C79" s="39"/>
      <c r="D79" s="39"/>
      <c r="E79" s="39"/>
      <c r="F79" s="39"/>
      <c r="G79" s="39"/>
      <c r="H79" s="39"/>
      <c r="I79" s="39"/>
      <c r="J79" s="39"/>
      <c r="K79" s="40"/>
      <c r="L79" s="40"/>
      <c r="M79" s="40"/>
    </row>
    <row r="80" spans="1:13" ht="13.5">
      <c r="A80" s="38"/>
      <c r="B80" s="39" t="s">
        <v>72</v>
      </c>
      <c r="C80" s="39"/>
      <c r="D80" s="39"/>
      <c r="E80" s="39"/>
      <c r="F80" s="39"/>
      <c r="G80" s="39"/>
      <c r="H80" s="39"/>
      <c r="I80" s="39"/>
      <c r="J80" s="39"/>
      <c r="K80" s="40"/>
      <c r="L80" s="40"/>
      <c r="M80" s="40"/>
    </row>
    <row r="81" spans="1:13" ht="13.5">
      <c r="A81" s="38"/>
      <c r="B81" s="39"/>
      <c r="C81" s="39" t="s">
        <v>70</v>
      </c>
      <c r="D81" s="39"/>
      <c r="E81" s="39"/>
      <c r="F81" s="39"/>
      <c r="G81" s="39"/>
      <c r="H81" s="39"/>
      <c r="I81" s="39"/>
      <c r="J81" s="39"/>
      <c r="K81" s="40"/>
      <c r="L81" s="40"/>
      <c r="M81" s="40"/>
    </row>
    <row r="82" spans="1:13" ht="13.5">
      <c r="A82" s="38"/>
      <c r="B82" s="39"/>
      <c r="C82" s="39" t="s">
        <v>122</v>
      </c>
      <c r="D82" s="39"/>
      <c r="E82" s="39"/>
      <c r="F82" s="39"/>
      <c r="G82" s="39"/>
      <c r="H82" s="39"/>
      <c r="I82" s="39"/>
      <c r="J82" s="39"/>
      <c r="K82" s="40"/>
      <c r="L82" s="40"/>
      <c r="M82" s="40"/>
    </row>
    <row r="83" spans="1:13" ht="13.5">
      <c r="A83" s="38"/>
      <c r="B83" s="39" t="s">
        <v>71</v>
      </c>
      <c r="C83" s="39"/>
      <c r="D83" s="39"/>
      <c r="E83" s="39"/>
      <c r="F83" s="39"/>
      <c r="G83" s="39"/>
      <c r="H83" s="39"/>
      <c r="I83" s="39"/>
      <c r="J83" s="39"/>
      <c r="K83" s="40"/>
      <c r="L83" s="40"/>
      <c r="M83" s="40"/>
    </row>
    <row r="84" spans="1:13" ht="13.5">
      <c r="A84" s="38"/>
      <c r="B84" s="39"/>
      <c r="C84" s="39" t="s">
        <v>73</v>
      </c>
      <c r="D84" s="39"/>
      <c r="E84" s="39"/>
      <c r="F84" s="39"/>
      <c r="G84" s="39"/>
      <c r="H84" s="39"/>
      <c r="I84" s="39"/>
      <c r="J84" s="39"/>
      <c r="K84" s="40"/>
      <c r="L84" s="40"/>
      <c r="M84" s="40"/>
    </row>
    <row r="85" spans="1:13" ht="13.5">
      <c r="A85" s="38"/>
      <c r="B85" s="39"/>
      <c r="C85" s="39" t="s">
        <v>74</v>
      </c>
      <c r="D85" s="39"/>
      <c r="E85" s="39"/>
      <c r="F85" s="39"/>
      <c r="G85" s="39"/>
      <c r="H85" s="39"/>
      <c r="I85" s="39"/>
      <c r="J85" s="39"/>
      <c r="K85" s="40"/>
      <c r="L85" s="40"/>
      <c r="M85" s="40"/>
    </row>
    <row r="86" spans="1:13" ht="13.5">
      <c r="A86" s="38"/>
      <c r="B86" s="39"/>
      <c r="C86" s="39" t="s">
        <v>123</v>
      </c>
      <c r="D86" s="39"/>
      <c r="E86" s="39"/>
      <c r="F86" s="39"/>
      <c r="G86" s="39"/>
      <c r="H86" s="39"/>
      <c r="I86" s="39"/>
      <c r="J86" s="39"/>
      <c r="K86" s="40"/>
      <c r="L86" s="40"/>
      <c r="M86" s="40"/>
    </row>
    <row r="87" spans="1:13" ht="14.25">
      <c r="A87" s="18">
        <v>3</v>
      </c>
      <c r="B87" t="s">
        <v>37</v>
      </c>
      <c r="K87" s="13"/>
      <c r="L87" s="13"/>
      <c r="M87" s="13"/>
    </row>
    <row r="88" spans="1:13" ht="14.25">
      <c r="A88" s="18"/>
      <c r="C88" t="s">
        <v>138</v>
      </c>
      <c r="K88" s="13"/>
      <c r="L88" s="13"/>
      <c r="M88" s="13"/>
    </row>
    <row r="89" spans="1:13" ht="14.25">
      <c r="A89" s="18"/>
      <c r="C89" t="s">
        <v>88</v>
      </c>
      <c r="K89" s="13"/>
      <c r="L89" s="13"/>
      <c r="M89" s="13"/>
    </row>
    <row r="90" spans="1:14" ht="14.25">
      <c r="A90" s="18"/>
      <c r="C90" s="39" t="s">
        <v>118</v>
      </c>
      <c r="D90" s="39"/>
      <c r="E90" s="39"/>
      <c r="F90" s="74">
        <v>400</v>
      </c>
      <c r="G90" s="132" t="s">
        <v>119</v>
      </c>
      <c r="H90" s="39"/>
      <c r="I90" s="74">
        <v>690</v>
      </c>
      <c r="J90" s="132" t="s">
        <v>120</v>
      </c>
      <c r="K90" s="132"/>
      <c r="L90" s="40"/>
      <c r="M90" s="133">
        <v>630</v>
      </c>
      <c r="N90" s="134" t="s">
        <v>15</v>
      </c>
    </row>
    <row r="91" spans="1:13" ht="14.25">
      <c r="A91" s="18">
        <v>4</v>
      </c>
      <c r="B91" t="s">
        <v>190</v>
      </c>
      <c r="K91" s="13"/>
      <c r="L91" s="13"/>
      <c r="M91" s="13"/>
    </row>
    <row r="92" spans="1:13" ht="14.25">
      <c r="A92" s="18">
        <v>5</v>
      </c>
      <c r="B92" s="19" t="s">
        <v>84</v>
      </c>
      <c r="K92" s="13"/>
      <c r="L92" s="13"/>
      <c r="M92" s="13"/>
    </row>
    <row r="93" spans="1:13" ht="14.25">
      <c r="A93" s="18">
        <v>6</v>
      </c>
      <c r="B93" s="19" t="s">
        <v>38</v>
      </c>
      <c r="K93" s="13"/>
      <c r="L93" s="13"/>
      <c r="M93" s="13"/>
    </row>
    <row r="94" spans="1:13" ht="14.25">
      <c r="A94" s="18">
        <v>7</v>
      </c>
      <c r="B94" t="s">
        <v>87</v>
      </c>
      <c r="K94" s="13"/>
      <c r="L94" s="13"/>
      <c r="M94" s="13"/>
    </row>
    <row r="95" spans="1:13" ht="14.25">
      <c r="A95" s="18">
        <v>8</v>
      </c>
      <c r="B95" t="s">
        <v>165</v>
      </c>
      <c r="K95" s="13"/>
      <c r="L95" s="13"/>
      <c r="M95" s="13"/>
    </row>
    <row r="96" spans="1:13" ht="14.25">
      <c r="A96" s="18">
        <v>9</v>
      </c>
      <c r="B96" t="s">
        <v>39</v>
      </c>
      <c r="K96" s="13"/>
      <c r="L96" s="13"/>
      <c r="M96" s="13"/>
    </row>
    <row r="97" spans="1:13" ht="14.25">
      <c r="A97" s="18"/>
      <c r="C97" t="s">
        <v>40</v>
      </c>
      <c r="K97" s="13"/>
      <c r="L97" s="13"/>
      <c r="M97" s="13"/>
    </row>
    <row r="98" spans="1:13" ht="14.25">
      <c r="A98" s="18">
        <v>10</v>
      </c>
      <c r="B98" s="196" t="s">
        <v>164</v>
      </c>
      <c r="K98" s="13"/>
      <c r="L98" s="13"/>
      <c r="M98" s="13"/>
    </row>
    <row r="99" spans="1:13" ht="14.25">
      <c r="A99" s="18">
        <v>11</v>
      </c>
      <c r="B99" s="196" t="s">
        <v>169</v>
      </c>
      <c r="C99" s="196"/>
      <c r="D99" s="196"/>
      <c r="E99" s="196"/>
      <c r="F99" s="196"/>
      <c r="G99" s="196"/>
      <c r="H99" s="196"/>
      <c r="K99" s="13"/>
      <c r="L99" s="13"/>
      <c r="M99" s="13"/>
    </row>
    <row r="100" spans="1:13" ht="14.25">
      <c r="A100" s="18"/>
      <c r="B100" s="196" t="s">
        <v>170</v>
      </c>
      <c r="C100" s="196"/>
      <c r="D100" s="196"/>
      <c r="E100" s="196"/>
      <c r="F100" s="196"/>
      <c r="G100" s="196"/>
      <c r="H100" s="196"/>
      <c r="K100" s="13"/>
      <c r="L100" s="13"/>
      <c r="M100" s="13"/>
    </row>
    <row r="101" spans="1:13" ht="14.25">
      <c r="A101" s="18">
        <v>12</v>
      </c>
      <c r="B101" s="19" t="s">
        <v>41</v>
      </c>
      <c r="C101" s="19"/>
      <c r="K101" s="13"/>
      <c r="L101" s="13"/>
      <c r="M101" s="13"/>
    </row>
    <row r="102" spans="2:13" ht="12.75">
      <c r="B102" s="19"/>
      <c r="C102" s="19" t="s">
        <v>42</v>
      </c>
      <c r="K102" s="13"/>
      <c r="L102" s="13"/>
      <c r="M102" s="13"/>
    </row>
    <row r="103" spans="3:13" ht="12.75">
      <c r="C103" t="s">
        <v>89</v>
      </c>
      <c r="K103" s="13"/>
      <c r="L103" s="13"/>
      <c r="M103" s="13"/>
    </row>
    <row r="104" spans="1:14" ht="12.75">
      <c r="A104" s="210" t="s">
        <v>101</v>
      </c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19"/>
    </row>
    <row r="105" spans="1:14" ht="24">
      <c r="A105" s="39"/>
      <c r="B105" s="39"/>
      <c r="C105" s="39"/>
      <c r="D105" s="39"/>
      <c r="E105" s="48" t="s">
        <v>43</v>
      </c>
      <c r="F105" s="49" t="s">
        <v>90</v>
      </c>
      <c r="G105" s="48" t="s">
        <v>91</v>
      </c>
      <c r="H105" s="48"/>
      <c r="I105" s="49" t="s">
        <v>92</v>
      </c>
      <c r="J105" s="49" t="s">
        <v>93</v>
      </c>
      <c r="K105" s="49" t="s">
        <v>50</v>
      </c>
      <c r="L105" s="157" t="s">
        <v>135</v>
      </c>
      <c r="M105" s="49" t="s">
        <v>45</v>
      </c>
      <c r="N105" s="19"/>
    </row>
    <row r="106" spans="1:14" ht="15.75" customHeight="1">
      <c r="A106" s="39"/>
      <c r="B106" s="74" t="s">
        <v>174</v>
      </c>
      <c r="C106" s="74"/>
      <c r="D106" s="74"/>
      <c r="E106" s="100">
        <v>1</v>
      </c>
      <c r="F106" s="101">
        <v>41000</v>
      </c>
      <c r="G106" s="102">
        <v>1200</v>
      </c>
      <c r="H106" s="51"/>
      <c r="I106" s="73">
        <f>'machinery costs'!J3</f>
        <v>4.641328125</v>
      </c>
      <c r="J106" s="108">
        <v>21</v>
      </c>
      <c r="K106" s="153">
        <f>0.6*E106</f>
        <v>0.6</v>
      </c>
      <c r="L106" s="158">
        <f>(G106*E106)/J106</f>
        <v>57.142857142857146</v>
      </c>
      <c r="M106" s="153">
        <v>0.58</v>
      </c>
      <c r="N106" s="19"/>
    </row>
    <row r="107" spans="1:13" ht="12.75">
      <c r="A107" s="39"/>
      <c r="B107" s="74" t="s">
        <v>175</v>
      </c>
      <c r="C107" s="74"/>
      <c r="D107" s="74"/>
      <c r="E107" s="100">
        <v>1</v>
      </c>
      <c r="F107" s="101">
        <v>59000</v>
      </c>
      <c r="G107" s="102">
        <v>1200</v>
      </c>
      <c r="H107" s="51"/>
      <c r="I107" s="73">
        <f>'machinery costs'!J4</f>
        <v>6.678984375</v>
      </c>
      <c r="J107" s="108">
        <v>33.9</v>
      </c>
      <c r="K107" s="153">
        <f>0.32*E107</f>
        <v>0.32</v>
      </c>
      <c r="L107" s="158">
        <f>(G107*E107)/J107</f>
        <v>35.39823008849557</v>
      </c>
      <c r="M107" s="153">
        <v>0.57</v>
      </c>
    </row>
    <row r="108" spans="1:16" ht="12.75">
      <c r="A108" s="39"/>
      <c r="B108" s="74" t="s">
        <v>176</v>
      </c>
      <c r="C108" s="74"/>
      <c r="D108" s="74"/>
      <c r="E108" s="100">
        <v>2</v>
      </c>
      <c r="F108" s="101">
        <v>208000</v>
      </c>
      <c r="G108" s="102">
        <v>2000</v>
      </c>
      <c r="H108" s="51"/>
      <c r="I108" s="73">
        <f>'machinery costs'!J5</f>
        <v>14.127750000000002</v>
      </c>
      <c r="J108" s="108">
        <v>33.1</v>
      </c>
      <c r="K108" s="153">
        <v>0.07</v>
      </c>
      <c r="L108" s="158">
        <f>(G108*E108)/J108</f>
        <v>120.84592145015105</v>
      </c>
      <c r="M108" s="153">
        <f>1.42*E108</f>
        <v>2.84</v>
      </c>
      <c r="O108" s="21"/>
      <c r="P108" s="21"/>
    </row>
    <row r="109" spans="1:16" ht="12.75">
      <c r="A109" s="39"/>
      <c r="B109" s="74" t="s">
        <v>163</v>
      </c>
      <c r="C109" s="74"/>
      <c r="D109" s="74"/>
      <c r="E109" s="100">
        <v>1</v>
      </c>
      <c r="F109" s="101">
        <v>63000</v>
      </c>
      <c r="G109" s="102">
        <v>1200</v>
      </c>
      <c r="H109" s="51"/>
      <c r="I109" s="73">
        <f>'machinery costs'!J6</f>
        <v>6.6478125</v>
      </c>
      <c r="J109" s="108">
        <v>12.7</v>
      </c>
      <c r="K109" s="153">
        <f>0.81*E109</f>
        <v>0.81</v>
      </c>
      <c r="L109" s="158">
        <f>(G109*E109)/J109</f>
        <v>94.48818897637796</v>
      </c>
      <c r="M109" s="153">
        <f>1.68*E109</f>
        <v>1.68</v>
      </c>
      <c r="O109" s="21"/>
      <c r="P109" s="21"/>
    </row>
    <row r="110" spans="1:16" ht="12.75">
      <c r="A110" s="39"/>
      <c r="B110" s="74" t="s">
        <v>177</v>
      </c>
      <c r="C110" s="74"/>
      <c r="D110" s="74"/>
      <c r="E110" s="100">
        <v>1</v>
      </c>
      <c r="F110" s="101">
        <v>296000</v>
      </c>
      <c r="G110" s="102">
        <v>2000</v>
      </c>
      <c r="H110" s="51"/>
      <c r="I110" s="73">
        <f>'machinery costs'!J7</f>
        <v>20.787062500000005</v>
      </c>
      <c r="J110" s="113" t="s">
        <v>113</v>
      </c>
      <c r="K110" s="114" t="s">
        <v>113</v>
      </c>
      <c r="L110" s="158">
        <f>L111</f>
        <v>117.64705882352942</v>
      </c>
      <c r="M110" s="155">
        <f>(L110*45.71)/G110</f>
        <v>2.688823529411765</v>
      </c>
      <c r="O110" s="21"/>
      <c r="P110" s="21"/>
    </row>
    <row r="111" spans="1:16" ht="12.75">
      <c r="A111" s="39"/>
      <c r="B111" s="74"/>
      <c r="C111" s="74" t="s">
        <v>167</v>
      </c>
      <c r="D111" s="74"/>
      <c r="E111" s="100">
        <v>1</v>
      </c>
      <c r="F111" s="101">
        <v>26000</v>
      </c>
      <c r="G111" s="103">
        <v>1200</v>
      </c>
      <c r="H111" s="64"/>
      <c r="I111" s="73">
        <f>'machinery costs'!J8</f>
        <v>3.043151041666667</v>
      </c>
      <c r="J111" s="109">
        <v>10.2</v>
      </c>
      <c r="K111" s="153">
        <f>1.49*E111</f>
        <v>1.49</v>
      </c>
      <c r="L111" s="158">
        <f>(G111*E111)/J111</f>
        <v>117.64705882352942</v>
      </c>
      <c r="M111" s="155">
        <v>0.33</v>
      </c>
      <c r="O111" s="21"/>
      <c r="P111" s="21"/>
    </row>
    <row r="112" spans="1:17" ht="12.75">
      <c r="A112" s="39"/>
      <c r="B112" s="74" t="s">
        <v>46</v>
      </c>
      <c r="C112" s="74"/>
      <c r="D112" s="74"/>
      <c r="E112" s="100">
        <v>2</v>
      </c>
      <c r="F112" s="101">
        <v>12000</v>
      </c>
      <c r="G112" s="102">
        <v>2000</v>
      </c>
      <c r="H112" s="51"/>
      <c r="I112" s="73">
        <f>'machinery costs'!J9</f>
        <v>0.8150624999999999</v>
      </c>
      <c r="J112" s="109">
        <v>34</v>
      </c>
      <c r="K112" s="153">
        <f>0.12*E112</f>
        <v>0.24</v>
      </c>
      <c r="L112" s="158">
        <f>(G112*E112)/J112</f>
        <v>117.6470588235294</v>
      </c>
      <c r="M112" s="155">
        <f>0.15*E112</f>
        <v>0.3</v>
      </c>
      <c r="O112" s="21"/>
      <c r="P112" s="21"/>
      <c r="Q112" s="112"/>
    </row>
    <row r="113" spans="1:16" ht="12.75">
      <c r="A113" s="39"/>
      <c r="B113" s="74" t="s">
        <v>168</v>
      </c>
      <c r="C113" s="74"/>
      <c r="D113" s="74"/>
      <c r="E113" s="100">
        <v>1</v>
      </c>
      <c r="F113" s="101">
        <v>70000</v>
      </c>
      <c r="G113" s="102">
        <v>2000</v>
      </c>
      <c r="H113" s="51"/>
      <c r="I113" s="73">
        <f>'machinery costs'!J10</f>
        <v>4.69</v>
      </c>
      <c r="J113" s="113" t="s">
        <v>113</v>
      </c>
      <c r="K113" s="52" t="s">
        <v>78</v>
      </c>
      <c r="L113" s="198" t="s">
        <v>113</v>
      </c>
      <c r="M113" s="155">
        <f>3.5*E113</f>
        <v>3.5</v>
      </c>
      <c r="O113" s="21"/>
      <c r="P113" s="21"/>
    </row>
    <row r="114" spans="1:16" ht="12.75">
      <c r="A114" s="39"/>
      <c r="B114" s="74" t="s">
        <v>178</v>
      </c>
      <c r="C114" s="74"/>
      <c r="D114" s="74"/>
      <c r="E114" s="100">
        <v>1</v>
      </c>
      <c r="F114" s="101">
        <v>62500</v>
      </c>
      <c r="G114" s="102">
        <v>2000</v>
      </c>
      <c r="H114" s="51"/>
      <c r="I114" s="73">
        <f>'machinery costs'!J11</f>
        <v>4.1875</v>
      </c>
      <c r="J114" s="201"/>
      <c r="K114" s="199">
        <f>(L114*9.9)/1000</f>
        <v>0.5823529411764706</v>
      </c>
      <c r="L114" s="200">
        <f>L110*0.5</f>
        <v>58.82352941176471</v>
      </c>
      <c r="M114" s="155">
        <v>1</v>
      </c>
      <c r="O114" s="21"/>
      <c r="P114" s="21"/>
    </row>
    <row r="115" spans="1:16" ht="12.75">
      <c r="A115" s="39"/>
      <c r="B115" s="74" t="s">
        <v>179</v>
      </c>
      <c r="C115" s="74"/>
      <c r="D115" s="74"/>
      <c r="E115" s="100">
        <v>2</v>
      </c>
      <c r="F115" s="101">
        <v>267000</v>
      </c>
      <c r="G115" s="102">
        <v>2000</v>
      </c>
      <c r="H115" s="51"/>
      <c r="I115" s="73">
        <f>'machinery costs'!J12</f>
        <v>17.889</v>
      </c>
      <c r="J115" s="115" t="s">
        <v>113</v>
      </c>
      <c r="K115" s="116" t="s">
        <v>113</v>
      </c>
      <c r="L115" s="158">
        <f>L106+L108+L114+L137</f>
        <v>328.5554272708279</v>
      </c>
      <c r="M115" s="155">
        <f>(L115*3.17)/G115</f>
        <v>0.5207603522242622</v>
      </c>
      <c r="O115" s="21"/>
      <c r="P115" s="21"/>
    </row>
    <row r="116" spans="1:16" ht="12.75">
      <c r="A116" s="39"/>
      <c r="B116" s="74" t="s">
        <v>180</v>
      </c>
      <c r="C116" s="74"/>
      <c r="D116" s="74"/>
      <c r="E116" s="100">
        <v>4</v>
      </c>
      <c r="F116" s="101">
        <v>220000</v>
      </c>
      <c r="G116" s="102">
        <v>2000</v>
      </c>
      <c r="H116" s="51"/>
      <c r="I116" s="73">
        <f>'machinery costs'!J13</f>
        <v>14.23296875</v>
      </c>
      <c r="J116" s="116" t="s">
        <v>113</v>
      </c>
      <c r="K116" s="116" t="s">
        <v>113</v>
      </c>
      <c r="L116" s="158">
        <f>L107+L112+L139</f>
        <v>218.5117373571968</v>
      </c>
      <c r="M116" s="155">
        <f>(L116*2.98)/G115</f>
        <v>0.3255824886622232</v>
      </c>
      <c r="O116" s="19"/>
      <c r="P116" s="21"/>
    </row>
    <row r="117" spans="1:15" ht="12.75">
      <c r="A117" s="39"/>
      <c r="B117" s="104" t="s">
        <v>94</v>
      </c>
      <c r="C117" s="104"/>
      <c r="D117" s="104"/>
      <c r="E117" s="105">
        <v>1</v>
      </c>
      <c r="F117" s="106">
        <v>20000</v>
      </c>
      <c r="G117" s="107">
        <v>2000</v>
      </c>
      <c r="H117" s="54"/>
      <c r="I117" s="161">
        <f>'machinery costs'!J14</f>
        <v>1.34</v>
      </c>
      <c r="J117" s="117" t="s">
        <v>113</v>
      </c>
      <c r="K117" s="154">
        <f>0.21*E117</f>
        <v>0.21</v>
      </c>
      <c r="L117" s="45"/>
      <c r="M117" s="156">
        <f>0.05*E117</f>
        <v>0.05</v>
      </c>
      <c r="N117" s="19"/>
      <c r="O117" s="20"/>
    </row>
    <row r="118" spans="1:14" ht="12.75">
      <c r="A118" s="39"/>
      <c r="C118" s="39"/>
      <c r="D118" s="39"/>
      <c r="E118" s="55"/>
      <c r="F118" s="50"/>
      <c r="G118" s="50"/>
      <c r="H118" s="50"/>
      <c r="I118" s="12"/>
      <c r="J118" s="56" t="s">
        <v>95</v>
      </c>
      <c r="K118" s="110">
        <f>SUM(K106:K117)*M121</f>
        <v>15.128235294117648</v>
      </c>
      <c r="M118" s="53"/>
      <c r="N118" s="19"/>
    </row>
    <row r="119" spans="1:14" ht="12.75">
      <c r="A119" s="39"/>
      <c r="C119" s="57"/>
      <c r="D119" s="57" t="s">
        <v>96</v>
      </c>
      <c r="E119" s="57"/>
      <c r="F119" s="58"/>
      <c r="G119" s="58"/>
      <c r="H119" s="58"/>
      <c r="I119" s="110">
        <f>SUM(I106:I117)</f>
        <v>99.08061979166668</v>
      </c>
      <c r="J119" s="56" t="s">
        <v>97</v>
      </c>
      <c r="K119" s="110">
        <f>(K118*0.1)+K118</f>
        <v>16.641058823529413</v>
      </c>
      <c r="L119" s="24" t="s">
        <v>98</v>
      </c>
      <c r="M119" s="110">
        <f>SUM(M106:M117)</f>
        <v>14.38516637029825</v>
      </c>
      <c r="N119" s="19"/>
    </row>
    <row r="120" spans="1:14" ht="12.75">
      <c r="A120" s="39"/>
      <c r="B120" s="57"/>
      <c r="C120" s="39"/>
      <c r="D120" s="39"/>
      <c r="E120" s="39"/>
      <c r="F120" s="60"/>
      <c r="G120" s="61"/>
      <c r="H120" s="61"/>
      <c r="I120" s="42"/>
      <c r="J120" s="57"/>
      <c r="K120" s="62"/>
      <c r="L120" s="62"/>
      <c r="M120" s="62"/>
      <c r="N120" s="19"/>
    </row>
    <row r="121" spans="1:14" ht="12.75">
      <c r="A121" s="39"/>
      <c r="B121" s="39"/>
      <c r="C121" s="57"/>
      <c r="D121" s="57"/>
      <c r="E121" s="57"/>
      <c r="F121" s="63"/>
      <c r="G121" s="63"/>
      <c r="H121" s="63"/>
      <c r="I121" s="63"/>
      <c r="J121" s="218" t="s">
        <v>47</v>
      </c>
      <c r="K121" s="218"/>
      <c r="L121" s="218"/>
      <c r="M121" s="111">
        <v>3.5</v>
      </c>
      <c r="N121" s="19"/>
    </row>
    <row r="122" spans="1:14" ht="12.75">
      <c r="A122" s="39"/>
      <c r="B122" s="39"/>
      <c r="C122" s="57"/>
      <c r="D122" s="57"/>
      <c r="E122" s="57"/>
      <c r="F122" s="63"/>
      <c r="G122" s="63"/>
      <c r="H122" s="63"/>
      <c r="I122" s="63"/>
      <c r="J122" s="124"/>
      <c r="K122" s="124"/>
      <c r="L122" s="124"/>
      <c r="M122" s="128"/>
      <c r="N122" s="19"/>
    </row>
    <row r="123" spans="1:14" ht="12.75">
      <c r="A123" s="39" t="s">
        <v>171</v>
      </c>
      <c r="B123" s="57"/>
      <c r="C123" s="57"/>
      <c r="D123" s="57"/>
      <c r="E123" s="57"/>
      <c r="F123" s="63"/>
      <c r="G123" s="63"/>
      <c r="H123" s="63"/>
      <c r="I123" s="63"/>
      <c r="J123" s="124"/>
      <c r="K123" s="124"/>
      <c r="L123" s="124"/>
      <c r="M123" s="128"/>
      <c r="N123" s="19"/>
    </row>
    <row r="124" spans="1:14" ht="12.75">
      <c r="A124" s="39" t="s">
        <v>172</v>
      </c>
      <c r="B124" s="57"/>
      <c r="C124" s="57"/>
      <c r="D124" s="57"/>
      <c r="E124" s="57"/>
      <c r="F124" s="63"/>
      <c r="G124" s="63"/>
      <c r="H124" s="63"/>
      <c r="I124" s="63"/>
      <c r="J124" s="124"/>
      <c r="K124" s="124"/>
      <c r="L124" s="124"/>
      <c r="M124" s="128"/>
      <c r="N124" s="19"/>
    </row>
    <row r="125" spans="1:14" ht="12.75">
      <c r="A125" s="168" t="s">
        <v>185</v>
      </c>
      <c r="B125" s="57"/>
      <c r="C125" s="57"/>
      <c r="D125" s="57"/>
      <c r="E125" s="57"/>
      <c r="F125" s="63"/>
      <c r="G125" s="63"/>
      <c r="H125" s="26"/>
      <c r="I125" s="4"/>
      <c r="J125" s="27"/>
      <c r="K125" s="27"/>
      <c r="M125" s="20"/>
      <c r="N125" s="19"/>
    </row>
    <row r="126" spans="1:14" ht="12.75">
      <c r="A126" s="39" t="s">
        <v>79</v>
      </c>
      <c r="B126" s="39"/>
      <c r="C126" s="39"/>
      <c r="D126" s="39"/>
      <c r="E126" s="39"/>
      <c r="F126" s="125"/>
      <c r="G126" s="125"/>
      <c r="H126" s="26"/>
      <c r="I126" s="19"/>
      <c r="J126" s="20"/>
      <c r="K126" s="20"/>
      <c r="L126" s="20"/>
      <c r="M126" s="20"/>
      <c r="N126" s="19"/>
    </row>
    <row r="127" spans="1:14" ht="12.75">
      <c r="A127" s="39" t="s">
        <v>166</v>
      </c>
      <c r="B127" s="39"/>
      <c r="C127" s="39"/>
      <c r="D127" s="39"/>
      <c r="E127" s="39"/>
      <c r="F127" s="39"/>
      <c r="G127" s="39"/>
      <c r="H127" s="19"/>
      <c r="I127" s="19"/>
      <c r="J127" s="19"/>
      <c r="K127" s="19"/>
      <c r="L127" s="20"/>
      <c r="M127" s="20"/>
      <c r="N127" s="19"/>
    </row>
    <row r="128" spans="1:14" ht="12.75">
      <c r="A128" s="39" t="s">
        <v>114</v>
      </c>
      <c r="B128" s="39"/>
      <c r="C128" s="39"/>
      <c r="D128" s="39"/>
      <c r="E128" s="76"/>
      <c r="F128" s="76"/>
      <c r="G128" s="76"/>
      <c r="H128" s="67"/>
      <c r="I128" s="67"/>
      <c r="J128" s="19"/>
      <c r="K128" s="19"/>
      <c r="L128" s="20"/>
      <c r="M128" s="20"/>
      <c r="N128" s="19"/>
    </row>
    <row r="129" spans="1:14" ht="12.75">
      <c r="A129" s="126" t="s">
        <v>115</v>
      </c>
      <c r="B129" s="39"/>
      <c r="C129" s="127"/>
      <c r="D129" s="39"/>
      <c r="E129" s="76"/>
      <c r="F129" s="76"/>
      <c r="G129" s="76"/>
      <c r="H129" s="67"/>
      <c r="I129" s="67"/>
      <c r="J129" s="19"/>
      <c r="K129" s="19"/>
      <c r="L129" s="20"/>
      <c r="M129" s="20"/>
      <c r="N129" s="19"/>
    </row>
    <row r="130" spans="1:14" ht="12.75">
      <c r="A130" s="19" t="s">
        <v>83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20"/>
      <c r="L130" s="20"/>
      <c r="M130" s="20"/>
      <c r="N130" s="19"/>
    </row>
    <row r="131" spans="1:9" ht="12.75">
      <c r="A131" s="39" t="s">
        <v>189</v>
      </c>
      <c r="G131" s="19"/>
      <c r="H131" s="19"/>
      <c r="I131" s="19"/>
    </row>
    <row r="132" spans="1:8" ht="12.75">
      <c r="A132" s="19" t="s">
        <v>48</v>
      </c>
      <c r="G132" s="19"/>
      <c r="H132" s="19"/>
    </row>
    <row r="133" spans="1:8" ht="12.75">
      <c r="A133" s="39" t="s">
        <v>102</v>
      </c>
      <c r="B133" s="39"/>
      <c r="C133" s="39"/>
      <c r="D133" s="39"/>
      <c r="G133" s="19"/>
      <c r="H133" s="19"/>
    </row>
    <row r="134" spans="1:8" ht="12.75">
      <c r="A134" s="39" t="s">
        <v>103</v>
      </c>
      <c r="B134" s="39"/>
      <c r="C134" s="39"/>
      <c r="D134" s="39"/>
      <c r="G134" s="19"/>
      <c r="H134" s="19"/>
    </row>
    <row r="135" spans="1:14" ht="12.75">
      <c r="A135" s="210" t="s">
        <v>49</v>
      </c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19"/>
    </row>
    <row r="136" spans="1:14" ht="25.5" customHeight="1">
      <c r="A136" s="19"/>
      <c r="B136" s="19"/>
      <c r="C136" s="19"/>
      <c r="D136" s="19"/>
      <c r="E136" s="163" t="s">
        <v>43</v>
      </c>
      <c r="F136" s="164" t="s">
        <v>44</v>
      </c>
      <c r="G136" s="165" t="s">
        <v>91</v>
      </c>
      <c r="H136" s="165"/>
      <c r="I136" s="166" t="s">
        <v>92</v>
      </c>
      <c r="J136" s="166" t="s">
        <v>93</v>
      </c>
      <c r="K136" s="166" t="s">
        <v>50</v>
      </c>
      <c r="L136" s="167" t="s">
        <v>137</v>
      </c>
      <c r="M136" s="166" t="s">
        <v>45</v>
      </c>
      <c r="N136" s="19"/>
    </row>
    <row r="137" spans="1:13" ht="12.75">
      <c r="A137" s="19"/>
      <c r="B137" s="112" t="s">
        <v>81</v>
      </c>
      <c r="C137" s="112"/>
      <c r="D137" s="112"/>
      <c r="E137" s="118">
        <v>1</v>
      </c>
      <c r="F137" s="119">
        <v>23000</v>
      </c>
      <c r="G137" s="120">
        <v>400</v>
      </c>
      <c r="H137" s="65"/>
      <c r="I137" s="73">
        <f>'machinery costs'!J18</f>
        <v>7.917031249999999</v>
      </c>
      <c r="J137" s="108">
        <v>4.36</v>
      </c>
      <c r="K137" s="153">
        <f>0.4*E137</f>
        <v>0.4</v>
      </c>
      <c r="L137" s="158">
        <f>(G137*E137)/J137</f>
        <v>91.74311926605503</v>
      </c>
      <c r="M137" s="153">
        <f>2.54*E137</f>
        <v>2.54</v>
      </c>
    </row>
    <row r="138" spans="1:16" ht="12.75">
      <c r="A138" s="19"/>
      <c r="B138" s="112" t="s">
        <v>82</v>
      </c>
      <c r="C138" s="112"/>
      <c r="D138" s="112"/>
      <c r="E138" s="118">
        <v>1</v>
      </c>
      <c r="F138" s="119">
        <v>8000</v>
      </c>
      <c r="G138" s="120">
        <v>400</v>
      </c>
      <c r="H138" s="65"/>
      <c r="I138" s="73">
        <f>'machinery costs'!J19</f>
        <v>0.6900833333333332</v>
      </c>
      <c r="J138" s="108">
        <v>4.4</v>
      </c>
      <c r="K138" s="153">
        <f>0.1*E138</f>
        <v>0.1</v>
      </c>
      <c r="L138" s="158">
        <f>L137</f>
        <v>91.74311926605503</v>
      </c>
      <c r="M138" s="153">
        <f>0.1*E138</f>
        <v>0.1</v>
      </c>
      <c r="O138" s="21"/>
      <c r="P138" s="21"/>
    </row>
    <row r="139" spans="1:16" ht="12.75">
      <c r="A139" s="160"/>
      <c r="B139" s="129" t="s">
        <v>80</v>
      </c>
      <c r="C139" s="129"/>
      <c r="D139" s="129"/>
      <c r="E139" s="121">
        <v>1</v>
      </c>
      <c r="F139" s="122">
        <v>7000</v>
      </c>
      <c r="G139" s="123">
        <v>400</v>
      </c>
      <c r="H139" s="66"/>
      <c r="I139" s="161">
        <f>'machinery costs'!J20</f>
        <v>0.6425416666666666</v>
      </c>
      <c r="J139" s="162">
        <v>6.11</v>
      </c>
      <c r="K139" s="156">
        <f>0.29*E139</f>
        <v>0.29</v>
      </c>
      <c r="L139" s="159">
        <f>(G139*E139)/J139</f>
        <v>65.46644844517185</v>
      </c>
      <c r="M139" s="156">
        <f>0.25*E139</f>
        <v>0.25</v>
      </c>
      <c r="O139" s="21"/>
      <c r="P139" s="21"/>
    </row>
    <row r="140" spans="1:16" ht="12.75">
      <c r="A140" s="19"/>
      <c r="E140" s="2"/>
      <c r="F140" s="43"/>
      <c r="I140" s="56"/>
      <c r="J140" s="56" t="s">
        <v>95</v>
      </c>
      <c r="K140" s="110">
        <f>SUM(K137:K139)*M121</f>
        <v>2.765</v>
      </c>
      <c r="L140" s="52"/>
      <c r="M140" s="40"/>
      <c r="O140" s="21"/>
      <c r="P140" s="21"/>
    </row>
    <row r="141" spans="1:16" ht="12.75">
      <c r="A141" s="19"/>
      <c r="D141" s="219" t="s">
        <v>96</v>
      </c>
      <c r="E141" s="219"/>
      <c r="F141" s="220"/>
      <c r="G141" s="220"/>
      <c r="H141" s="220"/>
      <c r="I141" s="110">
        <f>SUM(I137:I139)</f>
        <v>9.24965625</v>
      </c>
      <c r="J141" s="56" t="s">
        <v>97</v>
      </c>
      <c r="K141" s="110">
        <f>(K140*0.1)+K140</f>
        <v>3.0415</v>
      </c>
      <c r="L141" s="59" t="s">
        <v>98</v>
      </c>
      <c r="M141" s="110">
        <f>SUM(M137:M139)</f>
        <v>2.89</v>
      </c>
      <c r="O141" s="21"/>
      <c r="P141" s="21"/>
    </row>
    <row r="142" spans="1:16" ht="12.75">
      <c r="A142" s="39" t="s">
        <v>187</v>
      </c>
      <c r="B142" s="19"/>
      <c r="C142" s="19"/>
      <c r="I142" s="4"/>
      <c r="J142" s="46"/>
      <c r="K142" s="27"/>
      <c r="M142" s="20"/>
      <c r="O142" s="21"/>
      <c r="P142" s="21"/>
    </row>
    <row r="143" spans="1:16" ht="12.75">
      <c r="A143" s="19"/>
      <c r="B143" s="4"/>
      <c r="C143" s="4"/>
      <c r="D143" s="4"/>
      <c r="E143" s="4"/>
      <c r="F143" s="28"/>
      <c r="G143" s="26"/>
      <c r="H143" s="26"/>
      <c r="I143" s="47"/>
      <c r="J143" s="47"/>
      <c r="K143" s="47"/>
      <c r="L143" s="29"/>
      <c r="M143" s="20"/>
      <c r="O143" s="21"/>
      <c r="P143" s="21"/>
    </row>
    <row r="144" spans="1:16" ht="12.75">
      <c r="A144" s="19"/>
      <c r="B144" s="19"/>
      <c r="C144" s="19"/>
      <c r="D144" s="19"/>
      <c r="E144" s="19"/>
      <c r="F144" s="25"/>
      <c r="G144" s="26"/>
      <c r="H144" s="26"/>
      <c r="I144" s="4"/>
      <c r="J144" s="27"/>
      <c r="K144" s="27"/>
      <c r="M144" s="20"/>
      <c r="O144" s="21"/>
      <c r="P144" s="21"/>
    </row>
    <row r="145" spans="1:16" ht="12.75">
      <c r="A145" s="19"/>
      <c r="O145" s="19"/>
      <c r="P145" s="21"/>
    </row>
    <row r="146" spans="1:15" ht="12.75">
      <c r="A146" s="19"/>
      <c r="B146" s="4"/>
      <c r="C146" s="4"/>
      <c r="D146" s="4"/>
      <c r="E146" s="4"/>
      <c r="F146" s="30"/>
      <c r="G146" s="26"/>
      <c r="H146" s="26"/>
      <c r="I146" s="4"/>
      <c r="J146" s="27"/>
      <c r="K146" s="27"/>
      <c r="M146" s="20"/>
      <c r="N146" s="19"/>
      <c r="O146" s="20"/>
    </row>
    <row r="147" spans="1:14" ht="12.75">
      <c r="A147" s="19"/>
      <c r="C147" s="19"/>
      <c r="D147" s="19"/>
      <c r="E147" s="19"/>
      <c r="F147" s="30"/>
      <c r="G147" s="26"/>
      <c r="H147" s="26"/>
      <c r="I147" s="19"/>
      <c r="J147" s="20"/>
      <c r="K147" s="20"/>
      <c r="M147" s="20"/>
      <c r="N147" s="19"/>
    </row>
    <row r="148" spans="1:14" s="15" customFormat="1" ht="12.75">
      <c r="A148" s="31"/>
      <c r="B148" s="31"/>
      <c r="C148" s="31"/>
      <c r="D148" s="31"/>
      <c r="E148" s="32"/>
      <c r="G148" s="33"/>
      <c r="H148" s="33"/>
      <c r="I148" s="33"/>
      <c r="J148" s="33"/>
      <c r="K148" s="34"/>
      <c r="L148" s="35"/>
      <c r="M148" s="35"/>
      <c r="N148" s="31"/>
    </row>
    <row r="149" spans="11:14" s="15" customFormat="1" ht="12.75">
      <c r="K149" s="36"/>
      <c r="L149" s="9"/>
      <c r="M149" s="35"/>
      <c r="N149" s="31"/>
    </row>
    <row r="150" spans="12:14" ht="12.75">
      <c r="L150" s="27"/>
      <c r="M150" s="20"/>
      <c r="N150" s="19"/>
    </row>
    <row r="151" spans="13:14" ht="12.75">
      <c r="M151" s="20"/>
      <c r="N151" s="19"/>
    </row>
    <row r="152" spans="12:14" ht="12.75">
      <c r="L152" s="27"/>
      <c r="M152" s="20"/>
      <c r="N152" s="19"/>
    </row>
    <row r="153" spans="12:14" ht="12.75">
      <c r="L153" s="20"/>
      <c r="M153" s="20"/>
      <c r="N153" s="19"/>
    </row>
  </sheetData>
  <sheetProtection/>
  <mergeCells count="13">
    <mergeCell ref="D141:H141"/>
    <mergeCell ref="A6:D6"/>
    <mergeCell ref="A104:M104"/>
    <mergeCell ref="C1:M1"/>
    <mergeCell ref="C2:M2"/>
    <mergeCell ref="A135:M135"/>
    <mergeCell ref="K6:M6"/>
    <mergeCell ref="I6:J6"/>
    <mergeCell ref="I7:J7"/>
    <mergeCell ref="F6:G6"/>
    <mergeCell ref="D3:L3"/>
    <mergeCell ref="M4:N4"/>
    <mergeCell ref="J121:L121"/>
  </mergeCells>
  <printOptions horizontalCentered="1"/>
  <pageMargins left="0.5" right="0.5" top="0.5" bottom="0.5" header="0.5" footer="0.5"/>
  <pageSetup horizontalDpi="300" verticalDpi="300" orientation="portrait" scale="77" r:id="rId2"/>
  <rowBreaks count="2" manualBreakCount="2">
    <brk id="72" max="13" man="1"/>
    <brk id="142" max="13" man="1"/>
  </rowBreaks>
  <ignoredErrors>
    <ignoredError sqref="L1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13.8515625" style="0" customWidth="1"/>
    <col min="4" max="4" width="14.140625" style="0" customWidth="1"/>
    <col min="5" max="5" width="11.28125" style="0" customWidth="1"/>
    <col min="6" max="6" width="14.00390625" style="0" customWidth="1"/>
    <col min="8" max="9" width="11.140625" style="0" customWidth="1"/>
  </cols>
  <sheetData>
    <row r="1" ht="12.75">
      <c r="D1" s="4" t="s">
        <v>133</v>
      </c>
    </row>
    <row r="2" spans="1:10" ht="17.25" customHeight="1">
      <c r="A2" s="39" t="s">
        <v>132</v>
      </c>
      <c r="B2" s="39"/>
      <c r="C2" s="49" t="s">
        <v>125</v>
      </c>
      <c r="D2" s="49" t="s">
        <v>126</v>
      </c>
      <c r="E2" s="49" t="s">
        <v>127</v>
      </c>
      <c r="F2" s="49" t="s">
        <v>128</v>
      </c>
      <c r="G2" s="49" t="s">
        <v>129</v>
      </c>
      <c r="H2" s="49" t="s">
        <v>130</v>
      </c>
      <c r="I2" s="49" t="s">
        <v>136</v>
      </c>
      <c r="J2" s="49" t="s">
        <v>131</v>
      </c>
    </row>
    <row r="3" spans="1:10" ht="12.75">
      <c r="A3" s="74" t="s">
        <v>174</v>
      </c>
      <c r="B3" s="74"/>
      <c r="C3" s="140">
        <f>(wheat!F106+(wheat!F106*0.34)+D3)/2</f>
        <v>29161.25</v>
      </c>
      <c r="D3" s="140">
        <f>(wheat!F106-(wheat!F106*0.34))/8</f>
        <v>3382.5</v>
      </c>
      <c r="E3" s="140">
        <f>0.06*C3</f>
        <v>1749.675</v>
      </c>
      <c r="F3" s="140">
        <f>0.005*C3</f>
        <v>145.80625</v>
      </c>
      <c r="G3" s="140">
        <f>0.01*C3</f>
        <v>291.6125</v>
      </c>
      <c r="H3" s="142">
        <f>SUM(D3:G3)</f>
        <v>5569.59375</v>
      </c>
      <c r="I3" s="142">
        <f>wheat!G106</f>
        <v>1200</v>
      </c>
      <c r="J3" s="143">
        <f>H3/I3</f>
        <v>4.641328125</v>
      </c>
    </row>
    <row r="4" spans="1:10" ht="12.75">
      <c r="A4" s="74" t="s">
        <v>175</v>
      </c>
      <c r="B4" s="74"/>
      <c r="C4" s="141">
        <f>(wheat!F107+(wheat!F107*0.34)+D4)/2</f>
        <v>41963.75</v>
      </c>
      <c r="D4" s="141">
        <f>(wheat!F107-(wheat!F107*0.34))/8</f>
        <v>4867.5</v>
      </c>
      <c r="E4" s="141">
        <f aca="true" t="shared" si="0" ref="E4:E14">0.06*C4</f>
        <v>2517.825</v>
      </c>
      <c r="F4" s="141">
        <f aca="true" t="shared" si="1" ref="F4:F14">0.005*C4</f>
        <v>209.81875</v>
      </c>
      <c r="G4" s="141">
        <f aca="true" t="shared" si="2" ref="G4:G14">0.01*C4</f>
        <v>419.6375</v>
      </c>
      <c r="H4" s="138">
        <f aca="true" t="shared" si="3" ref="H4:H14">SUM(D4:G4)</f>
        <v>8014.78125</v>
      </c>
      <c r="I4" s="138">
        <f>wheat!G107</f>
        <v>1200</v>
      </c>
      <c r="J4" s="137">
        <f>H4/I4</f>
        <v>6.678984375</v>
      </c>
    </row>
    <row r="5" spans="1:10" ht="12.75">
      <c r="A5" s="74" t="s">
        <v>176</v>
      </c>
      <c r="B5" s="74"/>
      <c r="C5" s="141">
        <f>(wheat!F108+(wheat!F108*0.34)+D5)/2</f>
        <v>147940</v>
      </c>
      <c r="D5" s="141">
        <f>(wheat!F108-(wheat!F108*0.34))/8</f>
        <v>17160</v>
      </c>
      <c r="E5" s="141">
        <f t="shared" si="0"/>
        <v>8876.4</v>
      </c>
      <c r="F5" s="141">
        <f t="shared" si="1"/>
        <v>739.7</v>
      </c>
      <c r="G5" s="141">
        <f t="shared" si="2"/>
        <v>1479.4</v>
      </c>
      <c r="H5" s="138">
        <f t="shared" si="3"/>
        <v>28255.500000000004</v>
      </c>
      <c r="I5" s="138">
        <f>wheat!G108</f>
        <v>2000</v>
      </c>
      <c r="J5" s="137">
        <f aca="true" t="shared" si="4" ref="J5:J14">H5/I5</f>
        <v>14.127750000000002</v>
      </c>
    </row>
    <row r="6" spans="1:10" ht="12.75">
      <c r="A6" s="74" t="s">
        <v>163</v>
      </c>
      <c r="B6" s="74"/>
      <c r="C6" s="141">
        <f>(wheat!F109+(wheat!F109*0.44)+D6)/2</f>
        <v>47565</v>
      </c>
      <c r="D6" s="141">
        <f>(wheat!F109-(wheat!F109*0.44))/8</f>
        <v>4410</v>
      </c>
      <c r="E6" s="141">
        <f t="shared" si="0"/>
        <v>2853.9</v>
      </c>
      <c r="F6" s="141">
        <f t="shared" si="1"/>
        <v>237.82500000000002</v>
      </c>
      <c r="G6" s="141">
        <f t="shared" si="2"/>
        <v>475.65000000000003</v>
      </c>
      <c r="H6" s="138">
        <f t="shared" si="3"/>
        <v>7977.374999999999</v>
      </c>
      <c r="I6" s="138">
        <f>wheat!G109</f>
        <v>1200</v>
      </c>
      <c r="J6" s="137">
        <f t="shared" si="4"/>
        <v>6.6478125</v>
      </c>
    </row>
    <row r="7" spans="1:10" ht="12.75">
      <c r="A7" s="74" t="s">
        <v>177</v>
      </c>
      <c r="B7" s="74"/>
      <c r="C7" s="141">
        <f>(wheat!F110+(wheat!F110*0.29)+D7)/2</f>
        <v>204055</v>
      </c>
      <c r="D7" s="141">
        <f>(wheat!F110-(wheat!F110*0.29))/8</f>
        <v>26270</v>
      </c>
      <c r="E7" s="141">
        <f t="shared" si="0"/>
        <v>12243.3</v>
      </c>
      <c r="F7" s="141">
        <f t="shared" si="1"/>
        <v>1020.275</v>
      </c>
      <c r="G7" s="141">
        <f t="shared" si="2"/>
        <v>2040.55</v>
      </c>
      <c r="H7" s="138">
        <f t="shared" si="3"/>
        <v>41574.12500000001</v>
      </c>
      <c r="I7" s="138">
        <f>wheat!G110</f>
        <v>2000</v>
      </c>
      <c r="J7" s="137">
        <f t="shared" si="4"/>
        <v>20.787062500000005</v>
      </c>
    </row>
    <row r="8" spans="1:10" ht="12.75">
      <c r="A8" s="74"/>
      <c r="B8" s="74" t="s">
        <v>167</v>
      </c>
      <c r="C8" s="141">
        <f>(wheat!F111+(wheat!F111*0.29)+D8)/2</f>
        <v>17923.75</v>
      </c>
      <c r="D8" s="141">
        <f>(wheat!F111-(wheat!F111*0.29))/8</f>
        <v>2307.5</v>
      </c>
      <c r="E8" s="141">
        <f t="shared" si="0"/>
        <v>1075.425</v>
      </c>
      <c r="F8" s="141">
        <f t="shared" si="1"/>
        <v>89.61875</v>
      </c>
      <c r="G8" s="141">
        <f t="shared" si="2"/>
        <v>179.2375</v>
      </c>
      <c r="H8" s="138">
        <f t="shared" si="3"/>
        <v>3651.7812500000005</v>
      </c>
      <c r="I8" s="138">
        <f>wheat!G111</f>
        <v>1200</v>
      </c>
      <c r="J8" s="137">
        <f t="shared" si="4"/>
        <v>3.043151041666667</v>
      </c>
    </row>
    <row r="9" spans="1:10" ht="12.75">
      <c r="A9" s="74" t="s">
        <v>46</v>
      </c>
      <c r="B9" s="74"/>
      <c r="C9" s="141">
        <f>(wheat!F112+(wheat!F112*0.34)+D9)/2</f>
        <v>8535</v>
      </c>
      <c r="D9" s="141">
        <f>(wheat!F112-(wheat!F112*0.34))/8</f>
        <v>990</v>
      </c>
      <c r="E9" s="141">
        <f t="shared" si="0"/>
        <v>512.1</v>
      </c>
      <c r="F9" s="141">
        <f t="shared" si="1"/>
        <v>42.675000000000004</v>
      </c>
      <c r="G9" s="141">
        <f t="shared" si="2"/>
        <v>85.35000000000001</v>
      </c>
      <c r="H9" s="138">
        <f t="shared" si="3"/>
        <v>1630.1249999999998</v>
      </c>
      <c r="I9" s="138">
        <f>wheat!G112</f>
        <v>2000</v>
      </c>
      <c r="J9" s="137">
        <f t="shared" si="4"/>
        <v>0.8150624999999999</v>
      </c>
    </row>
    <row r="10" spans="1:10" ht="12.75">
      <c r="A10" s="74" t="s">
        <v>168</v>
      </c>
      <c r="B10" s="74"/>
      <c r="C10" s="141">
        <f>(wheat!F113+(wheat!F113*0.36)+D10)/2</f>
        <v>50400</v>
      </c>
      <c r="D10" s="141">
        <f>(wheat!F113-(wheat!F113*0.36))/8</f>
        <v>5600</v>
      </c>
      <c r="E10" s="141">
        <f t="shared" si="0"/>
        <v>3024</v>
      </c>
      <c r="F10" s="141">
        <f t="shared" si="1"/>
        <v>252</v>
      </c>
      <c r="G10" s="141">
        <f t="shared" si="2"/>
        <v>504</v>
      </c>
      <c r="H10" s="138">
        <f t="shared" si="3"/>
        <v>9380</v>
      </c>
      <c r="I10" s="138">
        <f>wheat!G113</f>
        <v>2000</v>
      </c>
      <c r="J10" s="137">
        <f t="shared" si="4"/>
        <v>4.69</v>
      </c>
    </row>
    <row r="11" spans="1:10" ht="12.75">
      <c r="A11" s="74" t="s">
        <v>178</v>
      </c>
      <c r="B11" s="74"/>
      <c r="C11" s="141">
        <f>(wheat!F114+(wheat!F114*0.36)+D11)/2</f>
        <v>45000</v>
      </c>
      <c r="D11" s="141">
        <f>(wheat!F114-(wheat!F114*0.36))/8</f>
        <v>5000</v>
      </c>
      <c r="E11" s="141">
        <f>0.06*C11</f>
        <v>2700</v>
      </c>
      <c r="F11" s="141">
        <f>0.005*C11</f>
        <v>225</v>
      </c>
      <c r="G11" s="141">
        <f>0.01*C11</f>
        <v>450</v>
      </c>
      <c r="H11" s="138">
        <f>SUM(D11:G11)</f>
        <v>8375</v>
      </c>
      <c r="I11" s="138">
        <f>wheat!G114</f>
        <v>2000</v>
      </c>
      <c r="J11" s="137">
        <f>H11/I11</f>
        <v>4.1875</v>
      </c>
    </row>
    <row r="12" spans="1:10" ht="12.75">
      <c r="A12" s="74" t="s">
        <v>179</v>
      </c>
      <c r="B12" s="74"/>
      <c r="C12" s="141">
        <f>(wheat!F115+(wheat!F115*0.36)+D12)/2</f>
        <v>192240</v>
      </c>
      <c r="D12" s="141">
        <f>(wheat!F115-(wheat!F115*0.36))/8</f>
        <v>21360</v>
      </c>
      <c r="E12" s="141">
        <f t="shared" si="0"/>
        <v>11534.4</v>
      </c>
      <c r="F12" s="141">
        <f t="shared" si="1"/>
        <v>961.2</v>
      </c>
      <c r="G12" s="141">
        <f t="shared" si="2"/>
        <v>1922.4</v>
      </c>
      <c r="H12" s="138">
        <f t="shared" si="3"/>
        <v>35778</v>
      </c>
      <c r="I12" s="138">
        <f>wheat!G115</f>
        <v>2000</v>
      </c>
      <c r="J12" s="137">
        <f t="shared" si="4"/>
        <v>17.889</v>
      </c>
    </row>
    <row r="13" spans="1:10" ht="12.75">
      <c r="A13" s="74" t="s">
        <v>180</v>
      </c>
      <c r="B13" s="74"/>
      <c r="C13" s="141">
        <f>(wheat!F116+(wheat!F116*0.41)+D13)/2</f>
        <v>163212.5</v>
      </c>
      <c r="D13" s="141">
        <f>(wheat!F116-(wheat!F116*0.41))/8</f>
        <v>16225</v>
      </c>
      <c r="E13" s="141">
        <f t="shared" si="0"/>
        <v>9792.75</v>
      </c>
      <c r="F13" s="141">
        <f t="shared" si="1"/>
        <v>816.0625</v>
      </c>
      <c r="G13" s="141">
        <f t="shared" si="2"/>
        <v>1632.125</v>
      </c>
      <c r="H13" s="138">
        <f t="shared" si="3"/>
        <v>28465.9375</v>
      </c>
      <c r="I13" s="138">
        <f>wheat!G116</f>
        <v>2000</v>
      </c>
      <c r="J13" s="137">
        <f t="shared" si="4"/>
        <v>14.23296875</v>
      </c>
    </row>
    <row r="14" spans="1:10" ht="12.75">
      <c r="A14" s="104" t="s">
        <v>94</v>
      </c>
      <c r="B14" s="104"/>
      <c r="C14" s="72">
        <f>(wheat!F117+(wheat!F117*0.36)+D14)/2</f>
        <v>14400</v>
      </c>
      <c r="D14" s="72">
        <f>(wheat!F117-(wheat!F117*0.36))/8</f>
        <v>1600</v>
      </c>
      <c r="E14" s="72">
        <f t="shared" si="0"/>
        <v>864</v>
      </c>
      <c r="F14" s="72">
        <f t="shared" si="1"/>
        <v>72</v>
      </c>
      <c r="G14" s="72">
        <f t="shared" si="2"/>
        <v>144</v>
      </c>
      <c r="H14" s="144">
        <f t="shared" si="3"/>
        <v>2680</v>
      </c>
      <c r="I14" s="144">
        <f>wheat!G117</f>
        <v>2000</v>
      </c>
      <c r="J14" s="145">
        <f t="shared" si="4"/>
        <v>1.34</v>
      </c>
    </row>
    <row r="15" spans="4:8" ht="12.75">
      <c r="D15" s="68">
        <f>SUM(D3:D14)</f>
        <v>109172.5</v>
      </c>
      <c r="E15" s="68">
        <f>SUM(E3:E14)</f>
        <v>57743.775</v>
      </c>
      <c r="F15" s="68">
        <f>SUM(F3:F14)</f>
        <v>4811.981250000001</v>
      </c>
      <c r="G15" s="68">
        <f>SUM(G3:G14)</f>
        <v>9623.962500000001</v>
      </c>
      <c r="H15" s="68">
        <f>SUM(H3:H14)</f>
        <v>181352.21875</v>
      </c>
    </row>
    <row r="16" ht="12.75">
      <c r="D16" s="4" t="s">
        <v>134</v>
      </c>
    </row>
    <row r="17" spans="1:10" ht="12.75">
      <c r="A17" s="151" t="s">
        <v>132</v>
      </c>
      <c r="B17" s="39"/>
      <c r="C17" s="39" t="s">
        <v>125</v>
      </c>
      <c r="D17" s="146" t="s">
        <v>126</v>
      </c>
      <c r="E17" s="152" t="s">
        <v>127</v>
      </c>
      <c r="F17" s="146" t="s">
        <v>128</v>
      </c>
      <c r="G17" s="146" t="s">
        <v>129</v>
      </c>
      <c r="H17" s="146" t="s">
        <v>130</v>
      </c>
      <c r="I17" s="146" t="s">
        <v>136</v>
      </c>
      <c r="J17" s="146" t="s">
        <v>131</v>
      </c>
    </row>
    <row r="18" spans="1:10" ht="15" customHeight="1">
      <c r="A18" s="147" t="s">
        <v>81</v>
      </c>
      <c r="B18" s="147"/>
      <c r="C18" s="140">
        <f>(wheat!F137+(wheat!F137*0.32)+D18)/2</f>
        <v>16157.5</v>
      </c>
      <c r="D18" s="140">
        <f>(wheat!F137-(wheat!F137*0.32))/8</f>
        <v>1955</v>
      </c>
      <c r="E18" s="140">
        <f>0.06*C18</f>
        <v>969.4499999999999</v>
      </c>
      <c r="F18" s="140">
        <f>0.005*C18</f>
        <v>80.78750000000001</v>
      </c>
      <c r="G18" s="140">
        <f>0.01*C18</f>
        <v>161.57500000000002</v>
      </c>
      <c r="H18" s="148">
        <f>SUM(D18:G18)</f>
        <v>3166.8124999999995</v>
      </c>
      <c r="I18" s="148">
        <f>wheat!G137</f>
        <v>400</v>
      </c>
      <c r="J18" s="143">
        <f>H18/I18</f>
        <v>7.917031249999999</v>
      </c>
    </row>
    <row r="19" spans="1:10" ht="12.75">
      <c r="A19" s="149" t="s">
        <v>82</v>
      </c>
      <c r="B19" s="149"/>
      <c r="C19" s="141">
        <f>(wheat!F138+(wheat!F138*0.41)+D19)/2</f>
        <v>5935</v>
      </c>
      <c r="D19" s="141">
        <f>(wheat!F138-(wheat!F138*0.41))/8</f>
        <v>590</v>
      </c>
      <c r="E19" s="141">
        <f>0.06*C19</f>
        <v>356.09999999999997</v>
      </c>
      <c r="F19" s="141">
        <f>0.005*C19</f>
        <v>29.675</v>
      </c>
      <c r="G19" s="141">
        <f>0.01*C19</f>
        <v>59.35</v>
      </c>
      <c r="H19" s="150">
        <f>SUM(D19:G19)</f>
        <v>1035.1249999999998</v>
      </c>
      <c r="I19" s="150">
        <f>wheat!G138</f>
        <v>400</v>
      </c>
      <c r="J19" s="137">
        <f>H19/1500</f>
        <v>0.6900833333333332</v>
      </c>
    </row>
    <row r="20" spans="1:10" ht="12.75">
      <c r="A20" s="129" t="s">
        <v>80</v>
      </c>
      <c r="B20" s="129"/>
      <c r="C20" s="72">
        <f>(wheat!F139+(wheat!F139*0.32)+D20)/2</f>
        <v>4917.5</v>
      </c>
      <c r="D20" s="72">
        <f>(wheat!F139-(wheat!F139*0.32))/8</f>
        <v>595</v>
      </c>
      <c r="E20" s="72">
        <f>0.06*C20</f>
        <v>295.05</v>
      </c>
      <c r="F20" s="72">
        <f>0.005*C20</f>
        <v>24.587500000000002</v>
      </c>
      <c r="G20" s="72">
        <f>0.01*C20</f>
        <v>49.175000000000004</v>
      </c>
      <c r="H20" s="139">
        <f>SUM(D20:G20)</f>
        <v>963.8124999999999</v>
      </c>
      <c r="I20" s="139">
        <f>wheat!G139</f>
        <v>400</v>
      </c>
      <c r="J20" s="145">
        <f>H20/1500</f>
        <v>0.6425416666666666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1" sqref="A1:I2"/>
    </sheetView>
  </sheetViews>
  <sheetFormatPr defaultColWidth="9.140625" defaultRowHeight="12.75"/>
  <cols>
    <col min="4" max="4" width="11.00390625" style="0" customWidth="1"/>
    <col min="6" max="6" width="9.421875" style="0" customWidth="1"/>
    <col min="7" max="7" width="14.00390625" style="0" customWidth="1"/>
    <col min="8" max="8" width="6.8515625" style="0" customWidth="1"/>
    <col min="9" max="9" width="13.28125" style="0" customWidth="1"/>
  </cols>
  <sheetData>
    <row r="1" spans="1:9" ht="12.75">
      <c r="A1" s="222" t="s">
        <v>182</v>
      </c>
      <c r="B1" s="223"/>
      <c r="C1" s="223"/>
      <c r="D1" s="223"/>
      <c r="E1" s="223"/>
      <c r="F1" s="223"/>
      <c r="G1" s="223"/>
      <c r="H1" s="223"/>
      <c r="I1" s="224"/>
    </row>
    <row r="2" spans="1:9" ht="12" customHeight="1" thickBot="1">
      <c r="A2" s="225"/>
      <c r="B2" s="226"/>
      <c r="C2" s="226"/>
      <c r="D2" s="226"/>
      <c r="E2" s="226"/>
      <c r="F2" s="226"/>
      <c r="G2" s="226"/>
      <c r="H2" s="226"/>
      <c r="I2" s="227"/>
    </row>
    <row r="3" spans="1:9" ht="21" thickTop="1">
      <c r="A3" s="228" t="s">
        <v>139</v>
      </c>
      <c r="B3" s="228"/>
      <c r="C3" s="228"/>
      <c r="D3" s="228" t="s">
        <v>140</v>
      </c>
      <c r="E3" s="228"/>
      <c r="F3" s="228"/>
      <c r="G3" s="229" t="s">
        <v>141</v>
      </c>
      <c r="H3" s="229"/>
      <c r="I3" s="230"/>
    </row>
    <row r="4" spans="1:9" ht="20.25">
      <c r="A4" s="177" t="s">
        <v>142</v>
      </c>
      <c r="B4" s="178"/>
      <c r="C4" s="169"/>
      <c r="D4" s="169"/>
      <c r="E4" s="169"/>
      <c r="F4" s="169"/>
      <c r="G4" s="205">
        <f>wheat!L8</f>
        <v>67</v>
      </c>
      <c r="H4" s="206"/>
      <c r="I4" s="207">
        <f>wheat!M8</f>
        <v>82</v>
      </c>
    </row>
    <row r="5" spans="1:9" ht="20.25">
      <c r="A5" s="179" t="s">
        <v>154</v>
      </c>
      <c r="B5" s="179"/>
      <c r="C5" s="180"/>
      <c r="D5" s="181">
        <f>wheat!I10</f>
        <v>6.35</v>
      </c>
      <c r="E5" s="180" t="s">
        <v>143</v>
      </c>
      <c r="F5" s="182"/>
      <c r="G5" s="183">
        <f>wheat!L10</f>
        <v>425.45</v>
      </c>
      <c r="H5" s="183"/>
      <c r="I5" s="184">
        <f>wheat!M10</f>
        <v>520.6999999999999</v>
      </c>
    </row>
    <row r="6" spans="1:9" ht="6.75" customHeight="1">
      <c r="A6" s="169"/>
      <c r="B6" s="169"/>
      <c r="C6" s="169"/>
      <c r="D6" s="169"/>
      <c r="E6" s="169"/>
      <c r="F6" s="172"/>
      <c r="G6" s="6"/>
      <c r="H6" s="6"/>
      <c r="I6" s="6"/>
    </row>
    <row r="7" spans="1:9" ht="20.25">
      <c r="A7" s="171" t="s">
        <v>144</v>
      </c>
      <c r="B7" s="175"/>
      <c r="C7" s="170"/>
      <c r="D7" s="169"/>
      <c r="E7" s="169"/>
      <c r="G7" s="173"/>
      <c r="H7" s="173"/>
      <c r="I7" s="173"/>
    </row>
    <row r="8" spans="1:9" ht="20.25">
      <c r="A8" s="185" t="s">
        <v>145</v>
      </c>
      <c r="B8" s="185"/>
      <c r="C8" s="185"/>
      <c r="D8" s="186">
        <f>wheat!I19</f>
        <v>0.029</v>
      </c>
      <c r="E8" s="182" t="s">
        <v>146</v>
      </c>
      <c r="F8" s="182"/>
      <c r="G8" s="183">
        <f>wheat!L19</f>
        <v>40.6</v>
      </c>
      <c r="H8" s="183"/>
      <c r="I8" s="184">
        <f>wheat!M19</f>
        <v>40.6</v>
      </c>
    </row>
    <row r="9" spans="1:9" ht="20.25">
      <c r="A9" s="185" t="s">
        <v>155</v>
      </c>
      <c r="B9" s="185"/>
      <c r="C9" s="185"/>
      <c r="D9" s="187">
        <f>wheat!F90</f>
        <v>400</v>
      </c>
      <c r="E9" s="185"/>
      <c r="F9" s="185"/>
      <c r="G9" s="188">
        <f>wheat!L22</f>
        <v>28.00471153846154</v>
      </c>
      <c r="H9" s="188"/>
      <c r="I9" s="189">
        <f>wheat!M21</f>
        <v>68.57142857142857</v>
      </c>
    </row>
    <row r="10" spans="1:9" ht="23.25">
      <c r="A10" s="185" t="s">
        <v>159</v>
      </c>
      <c r="B10" s="185"/>
      <c r="C10" s="185"/>
      <c r="D10" s="187">
        <f>wheat!I90</f>
        <v>690</v>
      </c>
      <c r="E10" s="185" t="s">
        <v>15</v>
      </c>
      <c r="F10" s="185"/>
      <c r="G10" s="188">
        <f>wheat!L22</f>
        <v>28.00471153846154</v>
      </c>
      <c r="H10" s="188"/>
      <c r="I10" s="189">
        <f>wheat!M22</f>
        <v>34.27442307692308</v>
      </c>
    </row>
    <row r="11" spans="1:9" ht="23.25">
      <c r="A11" s="185" t="s">
        <v>160</v>
      </c>
      <c r="B11" s="185"/>
      <c r="C11" s="185"/>
      <c r="D11" s="190">
        <f>wheat!M90</f>
        <v>630</v>
      </c>
      <c r="E11" s="185" t="s">
        <v>15</v>
      </c>
      <c r="F11" s="185"/>
      <c r="G11" s="188">
        <f>wheat!L23</f>
        <v>23.51475</v>
      </c>
      <c r="H11" s="188"/>
      <c r="I11" s="189">
        <f>wheat!M23</f>
        <v>26.428500000000003</v>
      </c>
    </row>
    <row r="12" spans="1:9" ht="20.25">
      <c r="A12" s="185" t="s">
        <v>147</v>
      </c>
      <c r="B12" s="185"/>
      <c r="C12" s="185"/>
      <c r="D12" s="185"/>
      <c r="E12" s="185"/>
      <c r="F12" s="185"/>
      <c r="G12" s="188">
        <f>wheat!L25</f>
        <v>21.34</v>
      </c>
      <c r="H12" s="188"/>
      <c r="I12" s="189">
        <f>wheat!M25</f>
        <v>21.34</v>
      </c>
    </row>
    <row r="13" spans="1:9" ht="20.25">
      <c r="A13" s="179" t="s">
        <v>150</v>
      </c>
      <c r="B13" s="179"/>
      <c r="C13" s="179"/>
      <c r="D13" s="191">
        <f>wheat!M121</f>
        <v>3.5</v>
      </c>
      <c r="E13" s="179" t="s">
        <v>151</v>
      </c>
      <c r="F13" s="179"/>
      <c r="G13" s="192"/>
      <c r="H13" s="192"/>
      <c r="I13" s="193"/>
    </row>
    <row r="14" spans="1:5" ht="8.25" customHeight="1">
      <c r="A14" s="169"/>
      <c r="B14" s="169"/>
      <c r="C14" s="169"/>
      <c r="D14" s="169"/>
      <c r="E14" s="169"/>
    </row>
    <row r="15" spans="1:9" ht="20.25">
      <c r="A15" s="171" t="s">
        <v>148</v>
      </c>
      <c r="B15" s="170"/>
      <c r="C15" s="169"/>
      <c r="D15" s="169"/>
      <c r="E15" s="169"/>
      <c r="F15" s="169"/>
      <c r="G15" s="174"/>
      <c r="H15" s="174"/>
      <c r="I15" s="174"/>
    </row>
    <row r="16" spans="1:9" ht="20.25">
      <c r="A16" s="202" t="s">
        <v>183</v>
      </c>
      <c r="B16" s="202"/>
      <c r="C16" s="203"/>
      <c r="D16" s="203"/>
      <c r="E16" s="203"/>
      <c r="F16" s="203"/>
      <c r="G16" s="183">
        <f>wheat!L40+wheat!L39</f>
        <v>48.2725</v>
      </c>
      <c r="H16" s="183"/>
      <c r="I16" s="184">
        <f>wheat!M40+wheat!M39</f>
        <v>53.035</v>
      </c>
    </row>
    <row r="17" spans="1:9" ht="20.25">
      <c r="A17" s="202" t="s">
        <v>90</v>
      </c>
      <c r="B17" s="202"/>
      <c r="C17" s="202"/>
      <c r="D17" s="202"/>
      <c r="E17" s="202"/>
      <c r="F17" s="202"/>
      <c r="G17" s="188">
        <f>wheat!L41</f>
        <v>99.08061979166668</v>
      </c>
      <c r="H17" s="188"/>
      <c r="I17" s="189">
        <f>wheat!M41</f>
        <v>99.08061979166668</v>
      </c>
    </row>
    <row r="18" spans="1:9" ht="20.25">
      <c r="A18" s="179" t="s">
        <v>149</v>
      </c>
      <c r="B18" s="179"/>
      <c r="C18" s="179"/>
      <c r="D18" s="179"/>
      <c r="E18" s="179"/>
      <c r="F18" s="185"/>
      <c r="G18" s="188">
        <f>wheat!L42</f>
        <v>150</v>
      </c>
      <c r="H18" s="188"/>
      <c r="I18" s="189">
        <f>wheat!M42</f>
        <v>200</v>
      </c>
    </row>
    <row r="19" spans="1:9" ht="19.5" customHeight="1">
      <c r="A19" s="169"/>
      <c r="B19" s="169"/>
      <c r="C19" s="204" t="s">
        <v>184</v>
      </c>
      <c r="D19" s="169"/>
      <c r="E19" s="169"/>
      <c r="F19" s="172"/>
      <c r="G19" s="183">
        <f>wheat!L47</f>
        <v>8.40390290737819</v>
      </c>
      <c r="H19" s="176"/>
      <c r="I19" s="183">
        <f>wheat!M47</f>
        <v>7.870907178852031</v>
      </c>
    </row>
    <row r="20" spans="1:9" ht="20.25">
      <c r="A20" s="171" t="s">
        <v>152</v>
      </c>
      <c r="B20" s="170"/>
      <c r="C20" s="169"/>
      <c r="D20" s="169"/>
      <c r="E20" s="169"/>
      <c r="F20" s="169"/>
      <c r="G20" s="174"/>
      <c r="H20" s="174"/>
      <c r="I20" s="174"/>
    </row>
    <row r="21" spans="1:9" ht="20.25">
      <c r="A21" s="182" t="s">
        <v>173</v>
      </c>
      <c r="B21" s="182"/>
      <c r="C21" s="182"/>
      <c r="D21" s="182"/>
      <c r="E21" s="182"/>
      <c r="F21" s="182"/>
      <c r="G21" s="183">
        <f>wheat!L50</f>
        <v>217.41682230635567</v>
      </c>
      <c r="H21" s="183"/>
      <c r="I21" s="184">
        <f>wheat!M50</f>
        <v>288.55335563968896</v>
      </c>
    </row>
    <row r="22" spans="1:9" ht="20.25">
      <c r="A22" s="179" t="s">
        <v>153</v>
      </c>
      <c r="B22" s="179"/>
      <c r="C22" s="179"/>
      <c r="D22" s="179"/>
      <c r="E22" s="179"/>
      <c r="F22" s="179"/>
      <c r="G22" s="192">
        <f>wheat!L49</f>
        <v>70.063702514689</v>
      </c>
      <c r="H22" s="192"/>
      <c r="I22" s="193">
        <f>wheat!M49</f>
        <v>136.43773584802227</v>
      </c>
    </row>
  </sheetData>
  <sheetProtection/>
  <mergeCells count="4">
    <mergeCell ref="A1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Barry Ward</cp:lastModifiedBy>
  <cp:lastPrinted>2011-04-12T14:00:43Z</cp:lastPrinted>
  <dcterms:created xsi:type="dcterms:W3CDTF">2002-12-27T16:09:39Z</dcterms:created>
  <dcterms:modified xsi:type="dcterms:W3CDTF">2012-04-26T21:11:07Z</dcterms:modified>
  <cp:category/>
  <cp:version/>
  <cp:contentType/>
  <cp:contentStatus/>
</cp:coreProperties>
</file>