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86" windowWidth="15480" windowHeight="10275" activeTab="0"/>
  </bookViews>
  <sheets>
    <sheet name="corn-cons" sheetId="1" r:id="rId1"/>
    <sheet name="machinery costs" sheetId="2" r:id="rId2"/>
    <sheet name="Quick Stats" sheetId="3" r:id="rId3"/>
  </sheets>
  <definedNames>
    <definedName name="_xlnm.Print_Area" localSheetId="0">'corn-cons'!$A$1:$N$122</definedName>
    <definedName name="_xlnm.Print_Area" localSheetId="1">'machinery costs'!$A$1:$K$15</definedName>
  </definedNames>
  <calcPr fullCalcOnLoad="1"/>
</workbook>
</file>

<file path=xl/sharedStrings.xml><?xml version="1.0" encoding="utf-8"?>
<sst xmlns="http://schemas.openxmlformats.org/spreadsheetml/2006/main" count="213" uniqueCount="178">
  <si>
    <t>ITEM</t>
  </si>
  <si>
    <t>EXPLANATION</t>
  </si>
  <si>
    <t>PRICE PER</t>
  </si>
  <si>
    <t>YOUR</t>
  </si>
  <si>
    <t>UNIT</t>
  </si>
  <si>
    <t>BUDGET</t>
  </si>
  <si>
    <t>RECEIPTS</t>
  </si>
  <si>
    <t>/bu</t>
  </si>
  <si>
    <t>VARIABLE  COSTS</t>
  </si>
  <si>
    <t>N (lbs.)</t>
  </si>
  <si>
    <t>/lb</t>
  </si>
  <si>
    <t>Lime(ton)</t>
  </si>
  <si>
    <t>/ton</t>
  </si>
  <si>
    <t xml:space="preserve">mo. </t>
  </si>
  <si>
    <t>TOTAL VARIABLE COSTS</t>
  </si>
  <si>
    <t>-Per Acre</t>
  </si>
  <si>
    <t>-Per Bushel</t>
  </si>
  <si>
    <t>FIXED COSTS</t>
  </si>
  <si>
    <t>hours</t>
  </si>
  <si>
    <t>/hr</t>
  </si>
  <si>
    <t>Rent</t>
  </si>
  <si>
    <t>of gross revenue</t>
  </si>
  <si>
    <t>TOTAL FIXED COSTS</t>
  </si>
  <si>
    <t>TOTAL COSTS</t>
  </si>
  <si>
    <t>RETURN ABOVE VARIABLE COSTS</t>
  </si>
  <si>
    <t>RETURN ABOVE TOTAL COSTS</t>
  </si>
  <si>
    <t xml:space="preserve">Assumes only maintenance application of fertilizer needed, corn-soybean rotation, 3.8 O.M., 20 CEC, </t>
  </si>
  <si>
    <t>An additional $0.01 is added per bushel for electricity</t>
  </si>
  <si>
    <t>See table below for specific calculations.</t>
  </si>
  <si>
    <t>if labor costs do not change with acres farmed.</t>
  </si>
  <si>
    <t>Return to labor and management is the revenue less total expenses except operator labor and management.</t>
  </si>
  <si>
    <t>It is a measure of the returns to the operator's labor and management.</t>
  </si>
  <si>
    <t>Machinery Inventory</t>
  </si>
  <si>
    <t>Number times used</t>
  </si>
  <si>
    <t>Repairs ($/A)</t>
  </si>
  <si>
    <t>Price of Diesel Fuel =</t>
  </si>
  <si>
    <t>*Fuel calculations are based on the implement plus tractor.</t>
  </si>
  <si>
    <r>
      <t xml:space="preserve">Fertilizer </t>
    </r>
    <r>
      <rPr>
        <vertAlign val="superscript"/>
        <sz val="10"/>
        <rFont val="Arial"/>
        <family val="2"/>
      </rPr>
      <t>4</t>
    </r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</si>
  <si>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(lbs)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</si>
  <si>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O(lbs)</t>
    </r>
  </si>
  <si>
    <r>
      <t xml:space="preserve">Chemicals </t>
    </r>
    <r>
      <rPr>
        <vertAlign val="superscript"/>
        <sz val="10"/>
        <rFont val="Arial"/>
        <family val="2"/>
      </rPr>
      <t>5</t>
    </r>
  </si>
  <si>
    <r>
      <t xml:space="preserve">Drying - Fuel &amp; Electric only </t>
    </r>
    <r>
      <rPr>
        <vertAlign val="superscript"/>
        <sz val="10"/>
        <rFont val="Arial"/>
        <family val="2"/>
      </rPr>
      <t>6</t>
    </r>
  </si>
  <si>
    <t xml:space="preserve">Machines are all assumed to be new and in the first year of use (Except for Semi Tractor Trailer and Pickup Truck). </t>
  </si>
  <si>
    <t>TOTAL RECEIPTS</t>
  </si>
  <si>
    <t>Fuel*        (gal/A)</t>
  </si>
  <si>
    <r>
      <t xml:space="preserve">Corn </t>
    </r>
    <r>
      <rPr>
        <vertAlign val="superscript"/>
        <sz val="10"/>
        <rFont val="Arial"/>
        <family val="2"/>
      </rPr>
      <t>1</t>
    </r>
  </si>
  <si>
    <t xml:space="preserve">Machinery and Equipment charge = </t>
  </si>
  <si>
    <t>Pickup Truck (1/2)**</t>
  </si>
  <si>
    <t>***</t>
  </si>
  <si>
    <t>***Fuel for Semi is included in Budget as Trucking - Fuel Only</t>
  </si>
  <si>
    <t>Fuel</t>
  </si>
  <si>
    <t>F&amp;L</t>
  </si>
  <si>
    <t>Acres per Year</t>
  </si>
  <si>
    <t>Cost per Acre</t>
  </si>
  <si>
    <t>/1000</t>
  </si>
  <si>
    <t>Machinery Cost</t>
  </si>
  <si>
    <t>Acres/ Hr</t>
  </si>
  <si>
    <t>Machinery and Equipment Charge per Acre</t>
  </si>
  <si>
    <t>Repairs</t>
  </si>
  <si>
    <t>Fertilizer Spreader</t>
  </si>
  <si>
    <t>See table below for specific calculations.  Lubrications costs are assumed to be 10% of fuel costs</t>
  </si>
  <si>
    <t>/gal LP</t>
  </si>
  <si>
    <t>PROD.</t>
  </si>
  <si>
    <t>NUMBERS</t>
  </si>
  <si>
    <t>-----</t>
  </si>
  <si>
    <t>Salvage Values are based on ASAE formulas.</t>
  </si>
  <si>
    <r>
      <t xml:space="preserve">Miscellaneous </t>
    </r>
    <r>
      <rPr>
        <vertAlign val="superscript"/>
        <sz val="10"/>
        <rFont val="Arial"/>
        <family val="2"/>
      </rPr>
      <t>11</t>
    </r>
  </si>
  <si>
    <r>
      <t>Int. on Oper. Cap.</t>
    </r>
    <r>
      <rPr>
        <vertAlign val="superscript"/>
        <sz val="10"/>
        <rFont val="Arial"/>
        <family val="2"/>
      </rPr>
      <t xml:space="preserve"> 12</t>
    </r>
  </si>
  <si>
    <r>
      <t xml:space="preserve">Hired Labor </t>
    </r>
    <r>
      <rPr>
        <vertAlign val="superscript"/>
        <sz val="10"/>
        <rFont val="Arial"/>
        <family val="2"/>
      </rPr>
      <t>13</t>
    </r>
  </si>
  <si>
    <r>
      <t>Labor Charge</t>
    </r>
    <r>
      <rPr>
        <vertAlign val="superscript"/>
        <sz val="10"/>
        <rFont val="Arial"/>
        <family val="2"/>
      </rPr>
      <t xml:space="preserve"> 14</t>
    </r>
  </si>
  <si>
    <r>
      <t>Mach. And Equip. Charge</t>
    </r>
    <r>
      <rPr>
        <vertAlign val="superscript"/>
        <sz val="10"/>
        <rFont val="Arial"/>
        <family val="2"/>
      </rPr>
      <t xml:space="preserve"> 15</t>
    </r>
  </si>
  <si>
    <r>
      <t xml:space="preserve">Trucking - Fuel Only </t>
    </r>
    <r>
      <rPr>
        <vertAlign val="superscript"/>
        <sz val="10"/>
        <rFont val="Arial"/>
        <family val="2"/>
      </rPr>
      <t>7</t>
    </r>
  </si>
  <si>
    <r>
      <t>Fuel, Oil, Grease</t>
    </r>
    <r>
      <rPr>
        <vertAlign val="superscript"/>
        <sz val="10"/>
        <rFont val="Arial"/>
        <family val="2"/>
      </rPr>
      <t xml:space="preserve"> 8</t>
    </r>
  </si>
  <si>
    <r>
      <t xml:space="preserve">Repairs </t>
    </r>
    <r>
      <rPr>
        <vertAlign val="superscript"/>
        <sz val="10"/>
        <rFont val="Arial"/>
        <family val="2"/>
      </rPr>
      <t>9</t>
    </r>
  </si>
  <si>
    <r>
      <t xml:space="preserve">Crop Insurance </t>
    </r>
    <r>
      <rPr>
        <vertAlign val="superscript"/>
        <sz val="10"/>
        <rFont val="Arial"/>
        <family val="2"/>
      </rPr>
      <t>10</t>
    </r>
  </si>
  <si>
    <r>
      <t xml:space="preserve">Land Charge </t>
    </r>
    <r>
      <rPr>
        <vertAlign val="superscript"/>
        <sz val="10"/>
        <rFont val="Arial"/>
        <family val="2"/>
      </rPr>
      <t>16</t>
    </r>
  </si>
  <si>
    <r>
      <t xml:space="preserve">Management Charge </t>
    </r>
    <r>
      <rPr>
        <vertAlign val="superscript"/>
        <sz val="10"/>
        <rFont val="Arial"/>
        <family val="2"/>
      </rPr>
      <t>17</t>
    </r>
  </si>
  <si>
    <r>
      <t xml:space="preserve">RETURN TO LABOR AND MANAGEMENT </t>
    </r>
    <r>
      <rPr>
        <b/>
        <vertAlign val="superscript"/>
        <sz val="10"/>
        <rFont val="Arial"/>
        <family val="2"/>
      </rPr>
      <t>18</t>
    </r>
  </si>
  <si>
    <t>Management Charge is calculated as 5% of Total Receipts.</t>
  </si>
  <si>
    <t xml:space="preserve">Values highlighted in gold may be changed to assist in computing "Your Budget" Column using macros embeded within  </t>
  </si>
  <si>
    <t>the spreadsheet.</t>
  </si>
  <si>
    <t>Values highlighted in gray are stand alone cells that require direct input from the user.</t>
  </si>
  <si>
    <t>These cells may be input manually, but macros will be overwritten!</t>
  </si>
  <si>
    <t xml:space="preserve"> 6.0% Interest on Average Value, 0.5% Insurance Cost on Average Value and 1.0% Housing Cost on Average Value.</t>
  </si>
  <si>
    <r>
      <t>YIELD (bu/A)</t>
    </r>
    <r>
      <rPr>
        <b/>
        <vertAlign val="superscript"/>
        <sz val="10"/>
        <rFont val="Arial"/>
        <family val="2"/>
      </rPr>
      <t>1</t>
    </r>
  </si>
  <si>
    <r>
      <t>Seed (kernels)</t>
    </r>
    <r>
      <rPr>
        <vertAlign val="superscript"/>
        <sz val="10"/>
        <rFont val="Arial"/>
        <family val="2"/>
      </rPr>
      <t>3</t>
    </r>
  </si>
  <si>
    <t>Herbicide</t>
  </si>
  <si>
    <t>Fungicide</t>
  </si>
  <si>
    <t>Insecticide</t>
  </si>
  <si>
    <t>Seed Cost Per Bag</t>
  </si>
  <si>
    <t>/bag</t>
  </si>
  <si>
    <t xml:space="preserve"> Includes seed treatment at low level.</t>
  </si>
  <si>
    <t xml:space="preserve">Labor rate includes cash wages plus benefits. </t>
  </si>
  <si>
    <t>RETURN TO LAND</t>
  </si>
  <si>
    <t>Updated:</t>
  </si>
  <si>
    <t>Drying costs are based on 2.5% moisture removed (0.02 gal of LP per % point of moisture removed).</t>
  </si>
  <si>
    <t>Includes supplies, utilities, soil tests, small tools, software/hardware, transport of supplies and equipment, etc…</t>
  </si>
  <si>
    <t>Assumes NH3(82-0-0):</t>
  </si>
  <si>
    <t>/ton     MAP(11-52-0):</t>
  </si>
  <si>
    <t>/ton     Potash(0-0-60):</t>
  </si>
  <si>
    <t xml:space="preserve"> Conservation Tillage Practices: N-Source - NH3</t>
  </si>
  <si>
    <t>Fertilizer prices vary over time and by area.  Check with local sources for current prices. N cost includes N-serve.</t>
  </si>
  <si>
    <t>N cost includes cost of N-Serve.</t>
  </si>
  <si>
    <t>Cost per Acre = Machinery Cost (New Cost) Assumes 8 Year Useful Life using Straight Line Depreciation,</t>
  </si>
  <si>
    <t>Insurance</t>
  </si>
  <si>
    <t>Housing</t>
  </si>
  <si>
    <t>Total</t>
  </si>
  <si>
    <t>Cost/acre</t>
  </si>
  <si>
    <t>Machine</t>
  </si>
  <si>
    <t>Average Value</t>
  </si>
  <si>
    <t>Depreciation</t>
  </si>
  <si>
    <t>Cost Capital</t>
  </si>
  <si>
    <t>Hours/ Year</t>
  </si>
  <si>
    <t>Acres/Year</t>
  </si>
  <si>
    <t>and soil test values of 25 ppm P/A and 150 ppm K/A.</t>
  </si>
  <si>
    <t>Item</t>
  </si>
  <si>
    <t>Corn Price</t>
  </si>
  <si>
    <t>Input</t>
  </si>
  <si>
    <t>/bushel</t>
  </si>
  <si>
    <t>Yield in bushels/acre</t>
  </si>
  <si>
    <t>Receipts</t>
  </si>
  <si>
    <t>Variable Costs</t>
  </si>
  <si>
    <t>Seed Cost</t>
  </si>
  <si>
    <t>Chemicals</t>
  </si>
  <si>
    <t>Fixed Costs</t>
  </si>
  <si>
    <t>Land Rent</t>
  </si>
  <si>
    <t xml:space="preserve">Fuel/Diesel </t>
  </si>
  <si>
    <t>/gallon</t>
  </si>
  <si>
    <t>Returns</t>
  </si>
  <si>
    <t>Return to Land</t>
  </si>
  <si>
    <r>
      <t>Nitrogen (NH</t>
    </r>
    <r>
      <rPr>
        <vertAlign val="subscript"/>
        <sz val="16"/>
        <rFont val="Arial"/>
        <family val="2"/>
      </rPr>
      <t>3</t>
    </r>
    <r>
      <rPr>
        <sz val="16"/>
        <rFont val="Arial"/>
        <family val="2"/>
      </rPr>
      <t>)</t>
    </r>
  </si>
  <si>
    <r>
      <t>P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0</t>
    </r>
    <r>
      <rPr>
        <vertAlign val="subscript"/>
        <sz val="16"/>
        <rFont val="Arial"/>
        <family val="2"/>
      </rPr>
      <t xml:space="preserve">5   </t>
    </r>
    <r>
      <rPr>
        <sz val="16"/>
        <rFont val="Arial"/>
        <family val="2"/>
      </rPr>
      <t>(MAP)</t>
    </r>
  </si>
  <si>
    <r>
      <t>K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0   (Potash)</t>
    </r>
  </si>
  <si>
    <t>Labor and Management</t>
  </si>
  <si>
    <t>/gal Diesel</t>
  </si>
  <si>
    <t>miles</t>
  </si>
  <si>
    <t>2 Semi Tractor/Trailers**</t>
  </si>
  <si>
    <t>Grain Cart</t>
  </si>
  <si>
    <t>Trucking based on 900 bushel loads, 6 mpg, oil and lube - 10% of fuel cost, Enter on road diesel price and total miles trucked</t>
  </si>
  <si>
    <t>Interest on all variable costs, except drying and trucking</t>
  </si>
  <si>
    <t>Reflects 2000 acres, conservation tillage corn/no-till RR soybean rotation. See table below for specific calculations.</t>
  </si>
  <si>
    <t>Land charges vary throughout the state, check your local rates.</t>
  </si>
  <si>
    <t>Machinery cost estimates, fuel estimates and cost calculations based on information from the "Farm Machinery Cost Estimates"</t>
  </si>
  <si>
    <t>See the reference online at:</t>
  </si>
  <si>
    <t>Anhydrous Applic. 32.5'</t>
  </si>
  <si>
    <t>Average based on "Ohio Cropland Values and Cash Rents" Factsheet</t>
  </si>
  <si>
    <t>37 ft. Chisel Plow</t>
  </si>
  <si>
    <t>Boom Sprayer, Self Prop.</t>
  </si>
  <si>
    <t>310 HP Tractor</t>
  </si>
  <si>
    <t>Combine 340 HP</t>
  </si>
  <si>
    <t>Seed price based on traited seed corn, 80,000 kernals/bag.</t>
  </si>
  <si>
    <t xml:space="preserve">Part or all of labor may be a variable cost if paid labor varies with acres farmed. It’s considered a fixed cost </t>
  </si>
  <si>
    <t>Crop Insurance cost is based on Revenue Protection at 75% coverage level and 100% Price Protection Level.</t>
  </si>
  <si>
    <t>Breakeven Cost</t>
  </si>
  <si>
    <t>http://faculty.apec.umn.edu/wlazarus/documents/machdata.pdf</t>
  </si>
  <si>
    <t>Reflects 2000 acres, Conservation Tillage Corn/No-Till RR Soybeans</t>
  </si>
  <si>
    <t>The "machinery cost" tab (next tab at the bottom of this worksheet) shows details of "Machinery and Equipment Charge per Acre".</t>
  </si>
  <si>
    <t>RETURN TO LAND, LABOR AND MANAGEMENT</t>
  </si>
  <si>
    <t>Grower or Market Premium</t>
  </si>
  <si>
    <t>Yield is based on Ohio Ag Stats Trend Yield for Ohio (1970-Present), plus and minus 20%</t>
  </si>
  <si>
    <t>Values highlighted in light blue are cells embedded with macros and will be calculated for the user based on data entered.</t>
  </si>
  <si>
    <t>Return to Total Costs</t>
  </si>
  <si>
    <t>60 ft. Field Cultivator</t>
  </si>
  <si>
    <t>16 Row Planter</t>
  </si>
  <si>
    <t>Corn Head 8 Row</t>
  </si>
  <si>
    <t>360 HP Tractor</t>
  </si>
  <si>
    <t xml:space="preserve">Prepared by: Barry Ward, Leader, Production Business Management; Peter Thomison, Extension Corn Specialist, </t>
  </si>
  <si>
    <t>Combine 440 HP</t>
  </si>
  <si>
    <t>Based on use of: fall applied Basis plus 2,4-D, preplant Cinch ATZ plus Instigate, post glyphosate (with adjuvant and AMS).</t>
  </si>
  <si>
    <t>RETURN ABOVE VARIABLE AND LAND COSTS</t>
  </si>
  <si>
    <t>CORN PRODUCTION BUDGET- 2014</t>
  </si>
  <si>
    <t>CORN SELECTED BUDGET STATS - 2014</t>
  </si>
  <si>
    <t>Pickup Truck (1/2)</t>
  </si>
  <si>
    <t>**Semi Tractor Trailers assumed to be used equipment.</t>
  </si>
  <si>
    <t>Price is based on up-to-date December Futures less 0.25 basis</t>
  </si>
  <si>
    <t>Starter Fertilizer</t>
  </si>
  <si>
    <t>Mark Loux, Extension Specialist, Weed Management in Field Crops</t>
  </si>
  <si>
    <t>5/15/2014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</si>
</sst>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_(* #,##0_);_(* \(#,##0\);_(* &quot;-&quot;??_);_(@_)"/>
    <numFmt numFmtId="168" formatCode=";;;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vertAlign val="subscript"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2" fontId="10" fillId="0" borderId="12" xfId="0" applyNumberFormat="1" applyFont="1" applyBorder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9" fontId="10" fillId="0" borderId="0" xfId="59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67" fontId="11" fillId="0" borderId="0" xfId="42" applyNumberFormat="1" applyFont="1" applyAlignment="1">
      <alignment horizontal="center"/>
    </xf>
    <xf numFmtId="9" fontId="10" fillId="0" borderId="0" xfId="59" applyFont="1" applyAlignment="1">
      <alignment horizontal="right"/>
    </xf>
    <xf numFmtId="167" fontId="10" fillId="0" borderId="0" xfId="42" applyNumberFormat="1" applyFont="1" applyAlignment="1">
      <alignment/>
    </xf>
    <xf numFmtId="2" fontId="11" fillId="0" borderId="0" xfId="0" applyNumberFormat="1" applyFont="1" applyAlignment="1">
      <alignment/>
    </xf>
    <xf numFmtId="167" fontId="11" fillId="0" borderId="0" xfId="0" applyNumberFormat="1" applyFont="1" applyAlignment="1">
      <alignment horizontal="right"/>
    </xf>
    <xf numFmtId="167" fontId="10" fillId="0" borderId="0" xfId="0" applyNumberFormat="1" applyFont="1" applyAlignment="1">
      <alignment horizontal="right"/>
    </xf>
    <xf numFmtId="2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 quotePrefix="1">
      <alignment horizontal="left"/>
    </xf>
    <xf numFmtId="3" fontId="10" fillId="0" borderId="0" xfId="0" applyNumberFormat="1" applyFont="1" applyFill="1" applyAlignment="1">
      <alignment horizontal="center"/>
    </xf>
    <xf numFmtId="3" fontId="10" fillId="0" borderId="11" xfId="44" applyNumberFormat="1" applyFont="1" applyFill="1" applyBorder="1" applyAlignment="1">
      <alignment horizontal="center"/>
    </xf>
    <xf numFmtId="9" fontId="11" fillId="0" borderId="0" xfId="59" applyFont="1" applyAlignment="1">
      <alignment horizontal="right"/>
    </xf>
    <xf numFmtId="0" fontId="6" fillId="0" borderId="0" xfId="0" applyFont="1" applyAlignment="1">
      <alignment horizontal="center" wrapText="1"/>
    </xf>
    <xf numFmtId="165" fontId="0" fillId="0" borderId="0" xfId="0" applyNumberForma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left"/>
    </xf>
    <xf numFmtId="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2" fontId="0" fillId="0" borderId="1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10" fillId="0" borderId="0" xfId="0" applyFont="1" applyFill="1" applyAlignment="1">
      <alignment horizontal="left"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>
      <alignment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9" fillId="0" borderId="0" xfId="0" applyFont="1" applyAlignment="1">
      <alignment horizontal="right"/>
    </xf>
    <xf numFmtId="164" fontId="10" fillId="0" borderId="0" xfId="0" applyNumberFormat="1" applyFont="1" applyBorder="1" applyAlignment="1" quotePrefix="1">
      <alignment horizontal="center"/>
    </xf>
    <xf numFmtId="164" fontId="10" fillId="0" borderId="0" xfId="0" applyNumberFormat="1" applyFont="1" applyAlignment="1" quotePrefix="1">
      <alignment horizontal="center"/>
    </xf>
    <xf numFmtId="2" fontId="10" fillId="0" borderId="11" xfId="0" applyNumberFormat="1" applyFont="1" applyBorder="1" applyAlignment="1" quotePrefix="1">
      <alignment horizontal="center"/>
    </xf>
    <xf numFmtId="49" fontId="0" fillId="0" borderId="0" xfId="0" applyNumberFormat="1" applyFont="1" applyAlignment="1">
      <alignment/>
    </xf>
    <xf numFmtId="0" fontId="10" fillId="33" borderId="0" xfId="0" applyFont="1" applyFill="1" applyAlignment="1">
      <alignment/>
    </xf>
    <xf numFmtId="0" fontId="10" fillId="34" borderId="0" xfId="0" applyFont="1" applyFill="1" applyAlignment="1">
      <alignment/>
    </xf>
    <xf numFmtId="165" fontId="12" fillId="34" borderId="0" xfId="0" applyNumberFormat="1" applyFont="1" applyFill="1" applyAlignment="1">
      <alignment/>
    </xf>
    <xf numFmtId="1" fontId="12" fillId="34" borderId="11" xfId="0" applyNumberFormat="1" applyFont="1" applyFill="1" applyBorder="1" applyAlignment="1">
      <alignment/>
    </xf>
    <xf numFmtId="0" fontId="12" fillId="34" borderId="0" xfId="0" applyFont="1" applyFill="1" applyAlignment="1">
      <alignment horizontal="right"/>
    </xf>
    <xf numFmtId="0" fontId="12" fillId="34" borderId="0" xfId="0" applyFont="1" applyFill="1" applyAlignment="1">
      <alignment/>
    </xf>
    <xf numFmtId="164" fontId="12" fillId="34" borderId="0" xfId="0" applyNumberFormat="1" applyFont="1" applyFill="1" applyAlignment="1">
      <alignment/>
    </xf>
    <xf numFmtId="2" fontId="12" fillId="34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10" fontId="12" fillId="34" borderId="0" xfId="0" applyNumberFormat="1" applyFont="1" applyFill="1" applyAlignment="1">
      <alignment/>
    </xf>
    <xf numFmtId="0" fontId="12" fillId="34" borderId="0" xfId="0" applyFont="1" applyFill="1" applyAlignment="1">
      <alignment horizontal="center"/>
    </xf>
    <xf numFmtId="9" fontId="12" fillId="34" borderId="0" xfId="59" applyFont="1" applyFill="1" applyAlignment="1">
      <alignment horizontal="center"/>
    </xf>
    <xf numFmtId="2" fontId="4" fillId="33" borderId="0" xfId="0" applyNumberFormat="1" applyFont="1" applyFill="1" applyAlignment="1">
      <alignment/>
    </xf>
    <xf numFmtId="2" fontId="4" fillId="35" borderId="0" xfId="0" applyNumberFormat="1" applyFont="1" applyFill="1" applyAlignment="1">
      <alignment/>
    </xf>
    <xf numFmtId="2" fontId="4" fillId="35" borderId="13" xfId="0" applyNumberFormat="1" applyFont="1" applyFill="1" applyBorder="1" applyAlignment="1">
      <alignment/>
    </xf>
    <xf numFmtId="0" fontId="10" fillId="35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166" fontId="10" fillId="34" borderId="0" xfId="0" applyNumberFormat="1" applyFont="1" applyFill="1" applyAlignment="1">
      <alignment horizontal="center"/>
    </xf>
    <xf numFmtId="166" fontId="10" fillId="34" borderId="11" xfId="44" applyNumberFormat="1" applyFont="1" applyFill="1" applyBorder="1" applyAlignment="1">
      <alignment horizontal="center"/>
    </xf>
    <xf numFmtId="165" fontId="0" fillId="33" borderId="0" xfId="0" applyNumberFormat="1" applyFill="1" applyAlignment="1">
      <alignment horizontal="center"/>
    </xf>
    <xf numFmtId="164" fontId="10" fillId="34" borderId="0" xfId="0" applyNumberFormat="1" applyFont="1" applyFill="1" applyAlignment="1">
      <alignment horizontal="center"/>
    </xf>
    <xf numFmtId="164" fontId="10" fillId="34" borderId="0" xfId="0" applyNumberFormat="1" applyFont="1" applyFill="1" applyBorder="1" applyAlignment="1">
      <alignment horizontal="center"/>
    </xf>
    <xf numFmtId="165" fontId="11" fillId="33" borderId="0" xfId="0" applyNumberFormat="1" applyFont="1" applyFill="1" applyAlignment="1">
      <alignment horizontal="center"/>
    </xf>
    <xf numFmtId="2" fontId="11" fillId="33" borderId="0" xfId="0" applyNumberFormat="1" applyFont="1" applyFill="1" applyAlignment="1">
      <alignment horizontal="center"/>
    </xf>
    <xf numFmtId="0" fontId="0" fillId="0" borderId="12" xfId="0" applyBorder="1" applyAlignment="1">
      <alignment/>
    </xf>
    <xf numFmtId="0" fontId="10" fillId="34" borderId="11" xfId="0" applyFont="1" applyFill="1" applyBorder="1" applyAlignment="1">
      <alignment/>
    </xf>
    <xf numFmtId="0" fontId="10" fillId="34" borderId="11" xfId="0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166" fontId="10" fillId="34" borderId="10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164" fontId="10" fillId="34" borderId="10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4" fontId="4" fillId="33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4" fillId="35" borderId="0" xfId="0" applyNumberFormat="1" applyFont="1" applyFill="1" applyAlignment="1">
      <alignment/>
    </xf>
    <xf numFmtId="4" fontId="0" fillId="0" borderId="0" xfId="0" applyNumberFormat="1" applyFont="1" applyAlignment="1" quotePrefix="1">
      <alignment/>
    </xf>
    <xf numFmtId="4" fontId="4" fillId="0" borderId="0" xfId="0" applyNumberFormat="1" applyFont="1" applyAlignment="1" quotePrefix="1">
      <alignment/>
    </xf>
    <xf numFmtId="2" fontId="12" fillId="33" borderId="0" xfId="0" applyNumberFormat="1" applyFont="1" applyFill="1" applyAlignment="1">
      <alignment/>
    </xf>
    <xf numFmtId="0" fontId="10" fillId="0" borderId="12" xfId="0" applyFont="1" applyBorder="1" applyAlignment="1">
      <alignment horizontal="center" wrapText="1"/>
    </xf>
    <xf numFmtId="164" fontId="4" fillId="34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0" fillId="0" borderId="0" xfId="0" applyNumberFormat="1" applyFont="1" applyAlignment="1">
      <alignment/>
    </xf>
    <xf numFmtId="0" fontId="10" fillId="0" borderId="0" xfId="0" applyFont="1" applyAlignment="1" quotePrefix="1">
      <alignment/>
    </xf>
    <xf numFmtId="2" fontId="10" fillId="0" borderId="0" xfId="0" applyNumberFormat="1" applyFont="1" applyAlignment="1" quotePrefix="1">
      <alignment/>
    </xf>
    <xf numFmtId="1" fontId="10" fillId="34" borderId="0" xfId="0" applyNumberFormat="1" applyFont="1" applyFill="1" applyAlignment="1">
      <alignment/>
    </xf>
    <xf numFmtId="169" fontId="12" fillId="34" borderId="0" xfId="0" applyNumberFormat="1" applyFont="1" applyFill="1" applyAlignment="1">
      <alignment/>
    </xf>
    <xf numFmtId="170" fontId="12" fillId="34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4" fontId="0" fillId="0" borderId="0" xfId="0" applyNumberFormat="1" applyBorder="1" applyAlignment="1">
      <alignment/>
    </xf>
    <xf numFmtId="0" fontId="10" fillId="34" borderId="0" xfId="0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 quotePrefix="1">
      <alignment horizontal="center"/>
    </xf>
    <xf numFmtId="2" fontId="10" fillId="0" borderId="0" xfId="0" applyNumberFormat="1" applyFont="1" applyFill="1" applyBorder="1" applyAlignment="1" quotePrefix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Alignment="1">
      <alignment horizontal="center"/>
    </xf>
    <xf numFmtId="2" fontId="10" fillId="33" borderId="11" xfId="0" applyNumberFormat="1" applyFont="1" applyFill="1" applyBorder="1" applyAlignment="1">
      <alignment horizontal="center"/>
    </xf>
    <xf numFmtId="39" fontId="10" fillId="33" borderId="11" xfId="0" applyNumberFormat="1" applyFont="1" applyFill="1" applyBorder="1" applyAlignment="1">
      <alignment horizontal="center"/>
    </xf>
    <xf numFmtId="2" fontId="10" fillId="0" borderId="0" xfId="0" applyNumberFormat="1" applyFont="1" applyAlignment="1">
      <alignment horizontal="center" wrapText="1"/>
    </xf>
    <xf numFmtId="2" fontId="10" fillId="33" borderId="1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Alignment="1" quotePrefix="1">
      <alignment horizontal="center"/>
    </xf>
    <xf numFmtId="2" fontId="10" fillId="0" borderId="11" xfId="0" applyNumberFormat="1" applyFont="1" applyFill="1" applyBorder="1" applyAlignment="1" quotePrefix="1">
      <alignment horizontal="center"/>
    </xf>
    <xf numFmtId="2" fontId="11" fillId="0" borderId="0" xfId="0" applyNumberFormat="1" applyFont="1" applyFill="1" applyAlignment="1">
      <alignment/>
    </xf>
    <xf numFmtId="2" fontId="10" fillId="33" borderId="0" xfId="0" applyNumberFormat="1" applyFont="1" applyFill="1" applyAlignment="1" quotePrefix="1">
      <alignment horizontal="center"/>
    </xf>
    <xf numFmtId="0" fontId="0" fillId="0" borderId="0" xfId="0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7" fontId="11" fillId="34" borderId="0" xfId="44" applyNumberFormat="1" applyFont="1" applyFill="1" applyAlignment="1">
      <alignment/>
    </xf>
    <xf numFmtId="0" fontId="15" fillId="0" borderId="0" xfId="0" applyFont="1" applyAlignment="1">
      <alignment/>
    </xf>
    <xf numFmtId="165" fontId="0" fillId="33" borderId="11" xfId="0" applyNumberFormat="1" applyFill="1" applyBorder="1" applyAlignment="1">
      <alignment horizontal="center"/>
    </xf>
    <xf numFmtId="0" fontId="14" fillId="36" borderId="14" xfId="0" applyFont="1" applyFill="1" applyBorder="1" applyAlignment="1">
      <alignment/>
    </xf>
    <xf numFmtId="0" fontId="16" fillId="36" borderId="15" xfId="0" applyFont="1" applyFill="1" applyBorder="1" applyAlignment="1">
      <alignment/>
    </xf>
    <xf numFmtId="0" fontId="16" fillId="0" borderId="0" xfId="0" applyFont="1" applyAlignment="1">
      <alignment/>
    </xf>
    <xf numFmtId="0" fontId="16" fillId="35" borderId="11" xfId="0" applyFont="1" applyFill="1" applyBorder="1" applyAlignment="1">
      <alignment/>
    </xf>
    <xf numFmtId="0" fontId="16" fillId="35" borderId="12" xfId="0" applyFont="1" applyFill="1" applyBorder="1" applyAlignment="1">
      <alignment/>
    </xf>
    <xf numFmtId="165" fontId="17" fillId="35" borderId="12" xfId="0" applyNumberFormat="1" applyFont="1" applyFill="1" applyBorder="1" applyAlignment="1">
      <alignment/>
    </xf>
    <xf numFmtId="0" fontId="16" fillId="35" borderId="10" xfId="0" applyFont="1" applyFill="1" applyBorder="1" applyAlignment="1">
      <alignment/>
    </xf>
    <xf numFmtId="165" fontId="16" fillId="0" borderId="0" xfId="0" applyNumberFormat="1" applyFont="1" applyAlignment="1">
      <alignment/>
    </xf>
    <xf numFmtId="0" fontId="14" fillId="36" borderId="10" xfId="0" applyFont="1" applyFill="1" applyBorder="1" applyAlignment="1">
      <alignment/>
    </xf>
    <xf numFmtId="0" fontId="16" fillId="35" borderId="0" xfId="0" applyFont="1" applyFill="1" applyBorder="1" applyAlignment="1">
      <alignment/>
    </xf>
    <xf numFmtId="166" fontId="17" fillId="35" borderId="10" xfId="0" applyNumberFormat="1" applyFont="1" applyFill="1" applyBorder="1" applyAlignment="1">
      <alignment/>
    </xf>
    <xf numFmtId="166" fontId="17" fillId="35" borderId="0" xfId="0" applyNumberFormat="1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165" fontId="14" fillId="35" borderId="10" xfId="0" applyNumberFormat="1" applyFont="1" applyFill="1" applyBorder="1" applyAlignment="1">
      <alignment/>
    </xf>
    <xf numFmtId="165" fontId="14" fillId="35" borderId="15" xfId="0" applyNumberFormat="1" applyFont="1" applyFill="1" applyBorder="1" applyAlignment="1">
      <alignment/>
    </xf>
    <xf numFmtId="165" fontId="16" fillId="0" borderId="10" xfId="0" applyNumberFormat="1" applyFont="1" applyFill="1" applyBorder="1" applyAlignment="1">
      <alignment/>
    </xf>
    <xf numFmtId="165" fontId="14" fillId="35" borderId="0" xfId="0" applyNumberFormat="1" applyFont="1" applyFill="1" applyBorder="1" applyAlignment="1">
      <alignment/>
    </xf>
    <xf numFmtId="165" fontId="14" fillId="35" borderId="16" xfId="0" applyNumberFormat="1" applyFont="1" applyFill="1" applyBorder="1" applyAlignment="1">
      <alignment/>
    </xf>
    <xf numFmtId="165" fontId="14" fillId="35" borderId="11" xfId="0" applyNumberFormat="1" applyFont="1" applyFill="1" applyBorder="1" applyAlignment="1">
      <alignment/>
    </xf>
    <xf numFmtId="165" fontId="14" fillId="35" borderId="17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65" fontId="16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16" fillId="37" borderId="10" xfId="0" applyFont="1" applyFill="1" applyBorder="1" applyAlignment="1">
      <alignment/>
    </xf>
    <xf numFmtId="165" fontId="16" fillId="37" borderId="10" xfId="0" applyNumberFormat="1" applyFont="1" applyFill="1" applyBorder="1" applyAlignment="1">
      <alignment/>
    </xf>
    <xf numFmtId="0" fontId="0" fillId="0" borderId="0" xfId="0" applyFont="1" applyAlignment="1" quotePrefix="1">
      <alignment/>
    </xf>
    <xf numFmtId="165" fontId="4" fillId="38" borderId="0" xfId="0" applyNumberFormat="1" applyFont="1" applyFill="1" applyAlignment="1">
      <alignment/>
    </xf>
    <xf numFmtId="3" fontId="12" fillId="34" borderId="0" xfId="0" applyNumberFormat="1" applyFont="1" applyFill="1" applyAlignment="1">
      <alignment/>
    </xf>
    <xf numFmtId="2" fontId="4" fillId="39" borderId="0" xfId="0" applyNumberFormat="1" applyFont="1" applyFill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2" fontId="10" fillId="39" borderId="0" xfId="0" applyNumberFormat="1" applyFont="1" applyFill="1" applyAlignment="1" quotePrefix="1">
      <alignment horizontal="center"/>
    </xf>
    <xf numFmtId="2" fontId="10" fillId="39" borderId="0" xfId="0" applyNumberFormat="1" applyFont="1" applyFill="1" applyBorder="1" applyAlignment="1">
      <alignment horizontal="center"/>
    </xf>
    <xf numFmtId="0" fontId="16" fillId="40" borderId="10" xfId="0" applyFont="1" applyFill="1" applyBorder="1" applyAlignment="1">
      <alignment/>
    </xf>
    <xf numFmtId="1" fontId="14" fillId="41" borderId="18" xfId="0" applyNumberFormat="1" applyFont="1" applyFill="1" applyBorder="1" applyAlignment="1">
      <alignment/>
    </xf>
    <xf numFmtId="0" fontId="14" fillId="41" borderId="11" xfId="0" applyFont="1" applyFill="1" applyBorder="1" applyAlignment="1">
      <alignment/>
    </xf>
    <xf numFmtId="1" fontId="14" fillId="41" borderId="17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53" applyAlignment="1" applyProtection="1">
      <alignment/>
      <protection/>
    </xf>
    <xf numFmtId="0" fontId="4" fillId="0" borderId="11" xfId="0" applyFont="1" applyBorder="1" applyAlignment="1">
      <alignment/>
    </xf>
    <xf numFmtId="10" fontId="4" fillId="0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165" fontId="12" fillId="0" borderId="0" xfId="0" applyNumberFormat="1" applyFont="1" applyFill="1" applyAlignment="1">
      <alignment/>
    </xf>
    <xf numFmtId="0" fontId="0" fillId="38" borderId="0" xfId="0" applyFill="1" applyAlignment="1">
      <alignment/>
    </xf>
    <xf numFmtId="4" fontId="0" fillId="38" borderId="10" xfId="0" applyNumberFormat="1" applyFill="1" applyBorder="1" applyAlignment="1">
      <alignment/>
    </xf>
    <xf numFmtId="4" fontId="0" fillId="38" borderId="0" xfId="0" applyNumberFormat="1" applyFill="1" applyBorder="1" applyAlignment="1">
      <alignment/>
    </xf>
    <xf numFmtId="4" fontId="0" fillId="38" borderId="11" xfId="0" applyNumberFormat="1" applyFill="1" applyBorder="1" applyAlignment="1">
      <alignment/>
    </xf>
    <xf numFmtId="4" fontId="0" fillId="38" borderId="0" xfId="0" applyNumberFormat="1" applyFill="1" applyAlignment="1">
      <alignment/>
    </xf>
    <xf numFmtId="0" fontId="16" fillId="37" borderId="11" xfId="0" applyFont="1" applyFill="1" applyBorder="1" applyAlignment="1">
      <alignment/>
    </xf>
    <xf numFmtId="0" fontId="16" fillId="37" borderId="0" xfId="0" applyFont="1" applyFill="1" applyBorder="1" applyAlignment="1">
      <alignment/>
    </xf>
    <xf numFmtId="7" fontId="17" fillId="35" borderId="11" xfId="0" applyNumberFormat="1" applyFont="1" applyFill="1" applyBorder="1" applyAlignment="1">
      <alignment/>
    </xf>
    <xf numFmtId="4" fontId="4" fillId="42" borderId="0" xfId="0" applyNumberFormat="1" applyFont="1" applyFill="1" applyAlignment="1">
      <alignment/>
    </xf>
    <xf numFmtId="4" fontId="4" fillId="42" borderId="11" xfId="0" applyNumberFormat="1" applyFont="1" applyFill="1" applyBorder="1" applyAlignment="1">
      <alignment/>
    </xf>
    <xf numFmtId="4" fontId="4" fillId="42" borderId="0" xfId="0" applyNumberFormat="1" applyFont="1" applyFill="1" applyBorder="1" applyAlignment="1">
      <alignment/>
    </xf>
    <xf numFmtId="2" fontId="4" fillId="40" borderId="0" xfId="0" applyNumberFormat="1" applyFont="1" applyFill="1" applyAlignment="1">
      <alignment/>
    </xf>
    <xf numFmtId="2" fontId="11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14" fontId="4" fillId="0" borderId="0" xfId="0" applyNumberFormat="1" applyFont="1" applyAlignment="1" quotePrefix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13" fillId="43" borderId="19" xfId="0" applyFont="1" applyFill="1" applyBorder="1" applyAlignment="1">
      <alignment horizontal="center"/>
    </xf>
    <xf numFmtId="0" fontId="13" fillId="43" borderId="0" xfId="0" applyFont="1" applyFill="1" applyBorder="1" applyAlignment="1">
      <alignment horizontal="center"/>
    </xf>
    <xf numFmtId="0" fontId="13" fillId="43" borderId="20" xfId="0" applyFont="1" applyFill="1" applyBorder="1" applyAlignment="1">
      <alignment horizontal="center"/>
    </xf>
    <xf numFmtId="0" fontId="13" fillId="43" borderId="21" xfId="0" applyFont="1" applyFill="1" applyBorder="1" applyAlignment="1">
      <alignment horizontal="center"/>
    </xf>
    <xf numFmtId="0" fontId="13" fillId="43" borderId="22" xfId="0" applyFont="1" applyFill="1" applyBorder="1" applyAlignment="1">
      <alignment horizontal="center"/>
    </xf>
    <xf numFmtId="0" fontId="13" fillId="43" borderId="23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left"/>
    </xf>
    <xf numFmtId="0" fontId="14" fillId="35" borderId="10" xfId="0" applyFont="1" applyFill="1" applyBorder="1" applyAlignment="1">
      <alignment horizontal="center"/>
    </xf>
    <xf numFmtId="0" fontId="14" fillId="35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76200</xdr:rowOff>
    </xdr:from>
    <xdr:to>
      <xdr:col>2</xdr:col>
      <xdr:colOff>438150</xdr:colOff>
      <xdr:row>4</xdr:row>
      <xdr:rowOff>47625</xdr:rowOff>
    </xdr:to>
    <xdr:pic>
      <xdr:nvPicPr>
        <xdr:cNvPr id="1" name="Picture 2" descr="web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647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aculty.apec.umn.edu/wlazarus/documents/machdata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2"/>
  <sheetViews>
    <sheetView tabSelected="1" view="pageBreakPreview" zoomScaleSheetLayoutView="100" workbookViewId="0" topLeftCell="A1">
      <selection activeCell="C1" sqref="C1:M1"/>
    </sheetView>
  </sheetViews>
  <sheetFormatPr defaultColWidth="9.140625" defaultRowHeight="12.75"/>
  <cols>
    <col min="1" max="1" width="2.8515625" style="0" customWidth="1"/>
    <col min="2" max="2" width="2.57421875" style="0" customWidth="1"/>
    <col min="4" max="4" width="7.00390625" style="0" customWidth="1"/>
    <col min="5" max="5" width="8.57421875" style="0" customWidth="1"/>
    <col min="6" max="7" width="8.7109375" style="0" customWidth="1"/>
    <col min="8" max="8" width="8.8515625" style="0" customWidth="1"/>
    <col min="9" max="9" width="9.8515625" style="0" customWidth="1"/>
    <col min="10" max="10" width="7.00390625" style="0" customWidth="1"/>
    <col min="11" max="11" width="7.8515625" style="0" customWidth="1"/>
    <col min="12" max="12" width="8.00390625" style="15" customWidth="1"/>
    <col min="13" max="13" width="7.8515625" style="15" customWidth="1"/>
    <col min="14" max="14" width="8.00390625" style="15" customWidth="1"/>
    <col min="15" max="15" width="8.7109375" style="0" customWidth="1"/>
  </cols>
  <sheetData>
    <row r="1" spans="1:15" ht="15.75">
      <c r="A1" s="1"/>
      <c r="B1" s="1"/>
      <c r="C1" s="206" t="s">
        <v>170</v>
      </c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111"/>
      <c r="O1" s="1"/>
    </row>
    <row r="2" spans="1:15" ht="15.75">
      <c r="A2" s="1"/>
      <c r="B2" s="1"/>
      <c r="C2" s="207" t="s">
        <v>100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3"/>
      <c r="O2" s="1"/>
    </row>
    <row r="3" spans="1:15" ht="12.75">
      <c r="A3" s="1"/>
      <c r="B3" s="1"/>
      <c r="C3" s="1"/>
      <c r="D3" s="1"/>
      <c r="E3" s="212" t="s">
        <v>155</v>
      </c>
      <c r="F3" s="213"/>
      <c r="G3" s="213"/>
      <c r="H3" s="213"/>
      <c r="I3" s="213"/>
      <c r="J3" s="213"/>
      <c r="K3" s="213"/>
      <c r="L3" s="3"/>
      <c r="N3" s="111"/>
      <c r="O3" s="1"/>
    </row>
    <row r="4" spans="1:15" ht="15.75">
      <c r="A4" s="1"/>
      <c r="B4" s="1"/>
      <c r="C4" s="1"/>
      <c r="D4" s="1"/>
      <c r="F4" s="1"/>
      <c r="G4" s="54"/>
      <c r="I4" s="2"/>
      <c r="J4" s="1"/>
      <c r="K4" s="3"/>
      <c r="L4" s="57" t="s">
        <v>94</v>
      </c>
      <c r="M4" s="210" t="s">
        <v>177</v>
      </c>
      <c r="N4" s="211"/>
      <c r="O4" s="1"/>
    </row>
    <row r="5" spans="1:15" ht="15.75">
      <c r="A5" s="1"/>
      <c r="B5" s="1"/>
      <c r="C5" s="1"/>
      <c r="D5" s="1"/>
      <c r="E5" s="54"/>
      <c r="F5" s="54"/>
      <c r="G5" s="1"/>
      <c r="H5" s="1"/>
      <c r="I5" s="2"/>
      <c r="J5" s="1"/>
      <c r="K5" s="49"/>
      <c r="L5" s="3"/>
      <c r="M5" s="3"/>
      <c r="N5" s="3"/>
      <c r="O5" s="1"/>
    </row>
    <row r="6" spans="1:14" ht="14.25">
      <c r="A6" s="208" t="s">
        <v>0</v>
      </c>
      <c r="B6" s="208"/>
      <c r="C6" s="208"/>
      <c r="D6" s="208"/>
      <c r="E6" s="209" t="s">
        <v>1</v>
      </c>
      <c r="F6" s="209"/>
      <c r="G6" s="209"/>
      <c r="H6" s="55" t="s">
        <v>3</v>
      </c>
      <c r="I6" s="46" t="s">
        <v>2</v>
      </c>
      <c r="J6" s="4"/>
      <c r="L6" s="44" t="s">
        <v>84</v>
      </c>
      <c r="M6" s="44"/>
      <c r="N6" s="4" t="s">
        <v>3</v>
      </c>
    </row>
    <row r="7" spans="1:14" ht="12.75">
      <c r="A7" s="5"/>
      <c r="B7" s="5"/>
      <c r="C7" s="5"/>
      <c r="D7" s="5"/>
      <c r="E7" s="5"/>
      <c r="F7" s="5"/>
      <c r="G7" s="5"/>
      <c r="H7" s="6" t="s">
        <v>62</v>
      </c>
      <c r="I7" s="6" t="s">
        <v>4</v>
      </c>
      <c r="J7" s="6"/>
      <c r="K7" s="7"/>
      <c r="L7" s="7"/>
      <c r="M7" s="7"/>
      <c r="N7" s="6" t="s">
        <v>5</v>
      </c>
    </row>
    <row r="8" spans="1:14" ht="12.75">
      <c r="A8" s="8"/>
      <c r="B8" s="8"/>
      <c r="C8" s="8"/>
      <c r="D8" s="8"/>
      <c r="E8" s="8"/>
      <c r="F8" s="8"/>
      <c r="G8" s="8"/>
      <c r="H8" s="56" t="s">
        <v>63</v>
      </c>
      <c r="I8" s="8"/>
      <c r="J8" s="8"/>
      <c r="K8" s="9">
        <v>128</v>
      </c>
      <c r="L8" s="9">
        <v>160</v>
      </c>
      <c r="M8" s="9">
        <v>192</v>
      </c>
      <c r="N8" s="69">
        <v>200</v>
      </c>
    </row>
    <row r="9" spans="1:14" ht="12.75">
      <c r="A9" s="10" t="s">
        <v>6</v>
      </c>
      <c r="B9" s="1"/>
      <c r="C9" s="1"/>
      <c r="D9" s="1"/>
      <c r="F9" s="1"/>
      <c r="G9" s="1"/>
      <c r="H9" s="1"/>
      <c r="I9" s="1"/>
      <c r="J9" s="1"/>
      <c r="K9" s="11"/>
      <c r="L9" s="11"/>
      <c r="M9" s="11"/>
      <c r="N9" s="11"/>
    </row>
    <row r="10" spans="1:14" ht="14.25">
      <c r="A10" s="1"/>
      <c r="B10" s="1" t="s">
        <v>45</v>
      </c>
      <c r="C10" s="1"/>
      <c r="D10" s="1"/>
      <c r="F10" s="1"/>
      <c r="G10" s="1"/>
      <c r="H10" s="1"/>
      <c r="I10" s="68">
        <v>4.5</v>
      </c>
      <c r="J10" s="1" t="s">
        <v>7</v>
      </c>
      <c r="K10" s="99">
        <f>+$I$10*K8</f>
        <v>576</v>
      </c>
      <c r="L10" s="99">
        <f>+$I$10*L8</f>
        <v>720</v>
      </c>
      <c r="M10" s="99">
        <f>+$I$10*M8</f>
        <v>864</v>
      </c>
      <c r="N10" s="100">
        <f>+$I$10*N8</f>
        <v>900</v>
      </c>
    </row>
    <row r="11" spans="1:14" ht="12.75">
      <c r="A11" s="1"/>
      <c r="B11" s="168" t="s">
        <v>158</v>
      </c>
      <c r="D11" s="1"/>
      <c r="E11" s="1"/>
      <c r="F11" s="192"/>
      <c r="G11" s="74"/>
      <c r="H11" s="74"/>
      <c r="I11" s="192"/>
      <c r="J11" s="60"/>
      <c r="K11" s="99">
        <v>0</v>
      </c>
      <c r="L11" s="99">
        <v>0</v>
      </c>
      <c r="M11" s="99">
        <v>0</v>
      </c>
      <c r="N11" s="117">
        <v>0</v>
      </c>
    </row>
    <row r="12" spans="1:14" ht="12.75">
      <c r="A12" s="1"/>
      <c r="B12" s="1"/>
      <c r="C12" s="1"/>
      <c r="D12" s="1"/>
      <c r="E12" s="14"/>
      <c r="F12" s="14"/>
      <c r="G12" s="14"/>
      <c r="H12" s="14"/>
      <c r="I12" s="12"/>
      <c r="J12" s="14"/>
      <c r="K12" s="99"/>
      <c r="L12" s="99"/>
      <c r="M12" s="99"/>
      <c r="N12" s="102"/>
    </row>
    <row r="13" spans="1:14" ht="12.75">
      <c r="A13" s="10" t="s">
        <v>43</v>
      </c>
      <c r="B13" s="1"/>
      <c r="C13" s="1"/>
      <c r="D13" s="1"/>
      <c r="E13" s="1"/>
      <c r="F13" s="1"/>
      <c r="G13" s="1"/>
      <c r="H13" s="1"/>
      <c r="I13" s="12"/>
      <c r="J13" s="1"/>
      <c r="K13" s="99">
        <f>SUM(K10:K11)</f>
        <v>576</v>
      </c>
      <c r="L13" s="99">
        <f>SUM(L10:L11)</f>
        <v>720</v>
      </c>
      <c r="M13" s="99">
        <f>SUM(M10:M11)</f>
        <v>864</v>
      </c>
      <c r="N13" s="100">
        <f>SUM(N10:N11)</f>
        <v>900</v>
      </c>
    </row>
    <row r="14" spans="1:14" ht="4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1"/>
      <c r="L14" s="11"/>
      <c r="M14" s="11"/>
      <c r="N14" s="58"/>
    </row>
    <row r="15" spans="1:14" ht="12.75">
      <c r="A15" s="10" t="s">
        <v>8</v>
      </c>
      <c r="B15" s="1"/>
      <c r="C15" s="1"/>
      <c r="D15" s="1"/>
      <c r="E15" s="1"/>
      <c r="F15" s="1"/>
      <c r="G15" s="1"/>
      <c r="H15" s="1"/>
      <c r="I15" s="1"/>
      <c r="J15" s="12"/>
      <c r="K15" s="11"/>
      <c r="L15" s="11"/>
      <c r="M15" s="11"/>
      <c r="N15" s="58"/>
    </row>
    <row r="16" spans="1:14" ht="14.25">
      <c r="A16" s="1"/>
      <c r="B16" s="1" t="s">
        <v>85</v>
      </c>
      <c r="C16" s="1"/>
      <c r="D16" s="1"/>
      <c r="E16" s="1">
        <v>28000</v>
      </c>
      <c r="F16" s="1">
        <v>32000</v>
      </c>
      <c r="G16" s="1">
        <v>34000</v>
      </c>
      <c r="H16" s="71">
        <v>34000</v>
      </c>
      <c r="I16" s="68">
        <f>I17/80</f>
        <v>3.4375</v>
      </c>
      <c r="J16" s="1" t="s">
        <v>54</v>
      </c>
      <c r="K16" s="3">
        <f>+$I$16*E16/1000</f>
        <v>96.25</v>
      </c>
      <c r="L16" s="3">
        <f>+$I$16*F16/1000</f>
        <v>110</v>
      </c>
      <c r="M16" s="3">
        <f>+$I$16*G16/1000</f>
        <v>116.875</v>
      </c>
      <c r="N16" s="79">
        <f>+$I$16*H16/1000</f>
        <v>116.875</v>
      </c>
    </row>
    <row r="17" spans="1:14" ht="12.75">
      <c r="A17" s="1"/>
      <c r="B17" s="1"/>
      <c r="C17" s="1"/>
      <c r="D17" s="1"/>
      <c r="E17" s="1" t="s">
        <v>89</v>
      </c>
      <c r="F17" s="1"/>
      <c r="G17" s="1"/>
      <c r="H17" s="110"/>
      <c r="I17" s="68">
        <v>275</v>
      </c>
      <c r="J17" s="60" t="s">
        <v>90</v>
      </c>
      <c r="K17" s="3"/>
      <c r="L17" s="3"/>
      <c r="M17" s="3"/>
      <c r="N17" s="109"/>
    </row>
    <row r="18" spans="1:14" ht="14.25">
      <c r="A18" s="1"/>
      <c r="B18" s="1" t="s">
        <v>37</v>
      </c>
      <c r="C18" s="1"/>
      <c r="D18" s="1"/>
      <c r="E18" s="1"/>
      <c r="F18" s="1"/>
      <c r="G18" s="1"/>
      <c r="H18" s="74"/>
      <c r="I18" s="75"/>
      <c r="J18" s="13"/>
      <c r="K18" s="3"/>
      <c r="L18" s="3"/>
      <c r="M18" s="3"/>
      <c r="N18" s="57"/>
    </row>
    <row r="19" spans="1:14" ht="12.75">
      <c r="A19" s="1"/>
      <c r="B19" s="1"/>
      <c r="C19" s="168" t="s">
        <v>175</v>
      </c>
      <c r="D19" s="1"/>
      <c r="E19" s="1"/>
      <c r="F19" s="1"/>
      <c r="G19" s="1"/>
      <c r="H19" s="74"/>
      <c r="I19" s="75"/>
      <c r="J19" s="13"/>
      <c r="K19" s="3">
        <v>0</v>
      </c>
      <c r="L19" s="3">
        <v>0</v>
      </c>
      <c r="M19" s="3">
        <v>0</v>
      </c>
      <c r="N19" s="204">
        <v>0</v>
      </c>
    </row>
    <row r="20" spans="1:14" ht="12.75">
      <c r="A20" s="1"/>
      <c r="B20" s="1"/>
      <c r="C20" s="1" t="s">
        <v>9</v>
      </c>
      <c r="D20" s="1"/>
      <c r="E20" s="50">
        <v>130</v>
      </c>
      <c r="F20" s="50">
        <v>160</v>
      </c>
      <c r="G20" s="50">
        <v>190</v>
      </c>
      <c r="H20" s="72">
        <v>190</v>
      </c>
      <c r="I20" s="115">
        <f>F69/1640</f>
        <v>0.4573170731707317</v>
      </c>
      <c r="J20" s="1" t="s">
        <v>10</v>
      </c>
      <c r="K20" s="3">
        <f>($I$20*E20)+7</f>
        <v>66.45121951219512</v>
      </c>
      <c r="L20" s="3">
        <f>($I$20*F20)+7</f>
        <v>80.17073170731707</v>
      </c>
      <c r="M20" s="3">
        <f>($I$20*G20)+7</f>
        <v>93.89024390243902</v>
      </c>
      <c r="N20" s="79">
        <f>($I$20*H20)+7</f>
        <v>93.89024390243902</v>
      </c>
    </row>
    <row r="21" spans="1:14" ht="15.75">
      <c r="A21" s="1"/>
      <c r="B21" s="1"/>
      <c r="C21" s="1" t="s">
        <v>38</v>
      </c>
      <c r="D21" s="1"/>
      <c r="E21" s="50">
        <f>K8*0.37</f>
        <v>47.36</v>
      </c>
      <c r="F21" s="50">
        <f>L8*0.37</f>
        <v>59.2</v>
      </c>
      <c r="G21" s="50">
        <f>M8*0.37</f>
        <v>71.03999999999999</v>
      </c>
      <c r="H21" s="108">
        <f>N8*0.37</f>
        <v>74</v>
      </c>
      <c r="I21" s="116">
        <f>I69/1040</f>
        <v>0.5961538461538461</v>
      </c>
      <c r="J21" s="1" t="s">
        <v>10</v>
      </c>
      <c r="K21" s="3">
        <f>+$I$21*E21</f>
        <v>28.23384615384615</v>
      </c>
      <c r="L21" s="3">
        <f>+$I$21*F21</f>
        <v>35.292307692307695</v>
      </c>
      <c r="M21" s="3">
        <f>+$I$21*G21</f>
        <v>42.350769230769224</v>
      </c>
      <c r="N21" s="79">
        <f>+$I$21*H21</f>
        <v>44.11538461538461</v>
      </c>
    </row>
    <row r="22" spans="1:18" ht="15.75">
      <c r="A22" s="1"/>
      <c r="B22" s="1"/>
      <c r="C22" s="1" t="s">
        <v>39</v>
      </c>
      <c r="D22" s="1"/>
      <c r="E22" s="50">
        <f>(K8*0.27)</f>
        <v>34.56</v>
      </c>
      <c r="F22" s="50">
        <f>(L8*0.27)</f>
        <v>43.2</v>
      </c>
      <c r="G22" s="50">
        <f>(M8*0.27)</f>
        <v>51.84</v>
      </c>
      <c r="H22" s="72">
        <f>(N8*0.27)</f>
        <v>54</v>
      </c>
      <c r="I22" s="116">
        <f>M69/1200</f>
        <v>0.375</v>
      </c>
      <c r="J22" s="1" t="s">
        <v>10</v>
      </c>
      <c r="K22" s="3">
        <f>+$I$22*E22</f>
        <v>12.96</v>
      </c>
      <c r="L22" s="3">
        <f>+$I$22*F22</f>
        <v>16.200000000000003</v>
      </c>
      <c r="M22" s="3">
        <f>+$I$22*G22</f>
        <v>19.44</v>
      </c>
      <c r="N22" s="79">
        <f>+$I$22*H22</f>
        <v>20.25</v>
      </c>
      <c r="O22" s="15"/>
      <c r="P22" s="15"/>
      <c r="Q22" s="15"/>
      <c r="R22" s="15"/>
    </row>
    <row r="23" spans="1:14" ht="12.75">
      <c r="A23" s="1"/>
      <c r="B23" s="1"/>
      <c r="C23" s="1" t="s">
        <v>11</v>
      </c>
      <c r="D23" s="1"/>
      <c r="E23" s="1"/>
      <c r="F23" s="1">
        <v>0.25</v>
      </c>
      <c r="G23" s="1"/>
      <c r="H23" s="73">
        <v>0.25</v>
      </c>
      <c r="I23" s="71">
        <v>25</v>
      </c>
      <c r="J23" s="1" t="s">
        <v>12</v>
      </c>
      <c r="K23" s="3">
        <f>+F23*I23</f>
        <v>6.25</v>
      </c>
      <c r="L23" s="3">
        <f>+F23*I23</f>
        <v>6.25</v>
      </c>
      <c r="M23" s="3">
        <f>+F23*I23</f>
        <v>6.25</v>
      </c>
      <c r="N23" s="79">
        <f>+H23*I23</f>
        <v>6.25</v>
      </c>
    </row>
    <row r="24" spans="1:14" ht="14.25">
      <c r="A24" s="1"/>
      <c r="B24" s="1" t="s">
        <v>40</v>
      </c>
      <c r="C24" s="1"/>
      <c r="D24" s="1" t="s">
        <v>86</v>
      </c>
      <c r="E24" s="1"/>
      <c r="F24" s="1"/>
      <c r="G24" s="1"/>
      <c r="H24" s="1"/>
      <c r="I24" s="1"/>
      <c r="J24" s="1"/>
      <c r="K24" s="3">
        <v>55.93</v>
      </c>
      <c r="L24" s="3">
        <v>55.93</v>
      </c>
      <c r="M24" s="3">
        <v>55.93</v>
      </c>
      <c r="N24" s="80">
        <v>55.93</v>
      </c>
    </row>
    <row r="25" spans="1:14" ht="12.75">
      <c r="A25" s="1"/>
      <c r="B25" s="1"/>
      <c r="C25" s="1"/>
      <c r="D25" s="1" t="s">
        <v>87</v>
      </c>
      <c r="E25" s="1"/>
      <c r="F25" s="1"/>
      <c r="G25" s="1"/>
      <c r="H25" s="1"/>
      <c r="I25" s="1"/>
      <c r="J25" s="1"/>
      <c r="K25" s="3">
        <v>0</v>
      </c>
      <c r="L25" s="3">
        <v>0</v>
      </c>
      <c r="M25" s="3">
        <v>0</v>
      </c>
      <c r="N25" s="80">
        <v>0</v>
      </c>
    </row>
    <row r="26" spans="1:14" ht="12.75">
      <c r="A26" s="1"/>
      <c r="B26" s="1"/>
      <c r="C26" s="1"/>
      <c r="D26" s="1" t="s">
        <v>88</v>
      </c>
      <c r="E26" s="1"/>
      <c r="F26" s="1"/>
      <c r="G26" s="1"/>
      <c r="H26" s="1"/>
      <c r="I26" s="1"/>
      <c r="J26" s="1"/>
      <c r="K26" s="3">
        <v>0</v>
      </c>
      <c r="L26" s="3">
        <v>0</v>
      </c>
      <c r="M26" s="3">
        <v>0</v>
      </c>
      <c r="N26" s="80">
        <v>0</v>
      </c>
    </row>
    <row r="27" spans="1:14" ht="14.25">
      <c r="A27" s="1"/>
      <c r="B27" s="1" t="s">
        <v>41</v>
      </c>
      <c r="C27" s="1"/>
      <c r="D27" s="1"/>
      <c r="E27" s="1"/>
      <c r="F27" s="68">
        <v>2</v>
      </c>
      <c r="G27" s="1" t="s">
        <v>61</v>
      </c>
      <c r="H27" s="1"/>
      <c r="I27" s="106">
        <f>(5*0.02*F27)+0.01</f>
        <v>0.21000000000000002</v>
      </c>
      <c r="J27" s="1" t="s">
        <v>7</v>
      </c>
      <c r="K27" s="3">
        <f>+$I$27*K8</f>
        <v>26.880000000000003</v>
      </c>
      <c r="L27" s="3">
        <f>+$I$27*L8</f>
        <v>33.6</v>
      </c>
      <c r="M27" s="3">
        <f>+$I$27*M8</f>
        <v>40.32000000000001</v>
      </c>
      <c r="N27" s="79">
        <f>+$I$27*N8</f>
        <v>42.00000000000001</v>
      </c>
    </row>
    <row r="28" spans="1:14" ht="14.25">
      <c r="A28" s="1"/>
      <c r="B28" s="1" t="s">
        <v>71</v>
      </c>
      <c r="C28" s="1"/>
      <c r="D28" s="1"/>
      <c r="E28" s="1"/>
      <c r="F28" s="175">
        <v>4</v>
      </c>
      <c r="G28" s="174" t="s">
        <v>134</v>
      </c>
      <c r="H28" s="1"/>
      <c r="I28" s="176">
        <v>30</v>
      </c>
      <c r="J28" s="168" t="s">
        <v>135</v>
      </c>
      <c r="K28" s="3">
        <f>(((($I$28/6)*$F$28)/900)*K8)+(((($I$28/6)*$F$28)/900)*K8)*0.1</f>
        <v>3.128888888888889</v>
      </c>
      <c r="L28" s="3">
        <f>(((($I$28/6)*$F$28)/900)*L8)+(((($I$28/6)*$F$28)/900)*L8)*0.1</f>
        <v>3.9111111111111114</v>
      </c>
      <c r="M28" s="3">
        <f>(((($I$28/6)*$F$28)/900)*M8)+(((($I$28/6)*$F$28)/900)*M8)*0.1</f>
        <v>4.693333333333333</v>
      </c>
      <c r="N28" s="177">
        <f>(((($I$28/6)*$F$28)/900)*N8)+(((($I$28/6)*$F$28)/900)*N8)*0.1</f>
        <v>4.888888888888889</v>
      </c>
    </row>
    <row r="29" spans="1:14" ht="14.25">
      <c r="A29" s="1"/>
      <c r="B29" s="1" t="s">
        <v>72</v>
      </c>
      <c r="C29" s="1"/>
      <c r="D29" s="1"/>
      <c r="E29" s="1"/>
      <c r="F29" s="1"/>
      <c r="G29" s="1"/>
      <c r="H29" s="1"/>
      <c r="I29" s="1"/>
      <c r="J29" s="1"/>
      <c r="K29" s="3">
        <f>+$K$106</f>
        <v>20.139401030927836</v>
      </c>
      <c r="L29" s="3">
        <f>+$K$106</f>
        <v>20.139401030927836</v>
      </c>
      <c r="M29" s="3">
        <f>+$K$106</f>
        <v>20.139401030927836</v>
      </c>
      <c r="N29" s="79">
        <f>+$K$106</f>
        <v>20.139401030927836</v>
      </c>
    </row>
    <row r="30" spans="1:14" ht="14.25">
      <c r="A30" s="1"/>
      <c r="B30" s="1" t="s">
        <v>73</v>
      </c>
      <c r="C30" s="1"/>
      <c r="D30" s="1"/>
      <c r="E30" s="1"/>
      <c r="F30" s="1"/>
      <c r="G30" s="1"/>
      <c r="H30" s="1"/>
      <c r="I30" s="1"/>
      <c r="J30" s="1"/>
      <c r="K30" s="3">
        <f>+$M$106</f>
        <v>26.77939173323341</v>
      </c>
      <c r="L30" s="3">
        <f>+$M$106</f>
        <v>26.77939173323341</v>
      </c>
      <c r="M30" s="3">
        <f>+$M$106</f>
        <v>26.77939173323341</v>
      </c>
      <c r="N30" s="79">
        <f>+$M$106</f>
        <v>26.77939173323341</v>
      </c>
    </row>
    <row r="31" spans="1:14" ht="14.25">
      <c r="A31" s="1"/>
      <c r="B31" s="1" t="s">
        <v>74</v>
      </c>
      <c r="C31" s="1"/>
      <c r="D31" s="1"/>
      <c r="E31" s="1"/>
      <c r="F31" s="1"/>
      <c r="G31" s="1"/>
      <c r="H31" s="1"/>
      <c r="I31" s="1"/>
      <c r="J31" s="1"/>
      <c r="K31" s="3">
        <v>20</v>
      </c>
      <c r="L31" s="3">
        <v>21</v>
      </c>
      <c r="M31" s="3">
        <v>21</v>
      </c>
      <c r="N31" s="80">
        <v>21</v>
      </c>
    </row>
    <row r="32" spans="1:14" ht="14.25">
      <c r="A32" s="1"/>
      <c r="B32" s="1" t="s">
        <v>66</v>
      </c>
      <c r="C32" s="1"/>
      <c r="D32" s="1"/>
      <c r="E32" s="1"/>
      <c r="F32" s="1"/>
      <c r="G32" s="1"/>
      <c r="H32" s="1"/>
      <c r="I32" s="1"/>
      <c r="J32" s="1"/>
      <c r="K32" s="3">
        <v>12</v>
      </c>
      <c r="L32" s="3">
        <v>12</v>
      </c>
      <c r="M32" s="3">
        <v>12</v>
      </c>
      <c r="N32" s="80">
        <v>12</v>
      </c>
    </row>
    <row r="33" spans="1:14" ht="14.25">
      <c r="A33" s="1"/>
      <c r="B33" s="1" t="s">
        <v>67</v>
      </c>
      <c r="C33" s="1"/>
      <c r="D33" s="1"/>
      <c r="E33" s="1"/>
      <c r="F33" s="70">
        <v>7</v>
      </c>
      <c r="G33" s="1" t="s">
        <v>13</v>
      </c>
      <c r="H33" s="1"/>
      <c r="I33" s="76">
        <v>0.04</v>
      </c>
      <c r="J33" s="1"/>
      <c r="K33" s="3">
        <f>(SUM(K16:K32)-K27-K28)*$I$33*($F$33/12)</f>
        <v>8.049856696704726</v>
      </c>
      <c r="L33" s="3">
        <f>(SUM(L16:L32)-L27-L28)*$I$33*($F$33/12)</f>
        <v>8.954442750488342</v>
      </c>
      <c r="M33" s="3">
        <f>(SUM(M16:M32)-M27-M28)*$I$33*($F$33/12)</f>
        <v>9.675278804271956</v>
      </c>
      <c r="N33" s="79">
        <f>(SUM(N16:N32)-N27-N28)*$I$33*($F$33/12)</f>
        <v>9.735353163246314</v>
      </c>
    </row>
    <row r="34" spans="1:14" ht="14.25">
      <c r="A34" s="1"/>
      <c r="B34" s="1" t="s">
        <v>68</v>
      </c>
      <c r="C34" s="1"/>
      <c r="D34" s="1"/>
      <c r="E34" s="1"/>
      <c r="F34" s="1"/>
      <c r="G34" s="1"/>
      <c r="H34" s="1"/>
      <c r="I34" s="1"/>
      <c r="J34" s="1"/>
      <c r="K34" s="52">
        <v>0</v>
      </c>
      <c r="L34" s="52">
        <v>0</v>
      </c>
      <c r="M34" s="52">
        <v>0</v>
      </c>
      <c r="N34" s="81">
        <v>0</v>
      </c>
    </row>
    <row r="35" spans="1:14" ht="3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53"/>
      <c r="L35" s="53"/>
      <c r="M35" s="53"/>
      <c r="N35" s="59"/>
    </row>
    <row r="36" spans="1:14" ht="12.75">
      <c r="A36" s="10" t="s">
        <v>14</v>
      </c>
      <c r="B36" s="1"/>
      <c r="C36" s="1"/>
      <c r="D36" s="1"/>
      <c r="E36" s="1"/>
      <c r="G36" s="65" t="s">
        <v>15</v>
      </c>
      <c r="H36" s="65"/>
      <c r="I36" s="1"/>
      <c r="J36" s="1"/>
      <c r="K36" s="3">
        <f>SUM(K16:K35)</f>
        <v>383.05260401579613</v>
      </c>
      <c r="L36" s="3">
        <f>SUM(L16:L35)</f>
        <v>430.2273860253855</v>
      </c>
      <c r="M36" s="3">
        <f>SUM(M16:M35)</f>
        <v>469.3434180349748</v>
      </c>
      <c r="N36" s="79">
        <f>SUM(N16:N35)</f>
        <v>473.85366333412014</v>
      </c>
    </row>
    <row r="37" spans="1:14" ht="12.75">
      <c r="A37" s="1"/>
      <c r="B37" s="1"/>
      <c r="C37" s="1"/>
      <c r="D37" s="1"/>
      <c r="E37" s="1"/>
      <c r="G37" s="65" t="s">
        <v>16</v>
      </c>
      <c r="H37" s="65"/>
      <c r="I37" s="1"/>
      <c r="J37" s="1"/>
      <c r="K37" s="3">
        <f>+K36/K8</f>
        <v>2.9925984688734073</v>
      </c>
      <c r="L37" s="3">
        <f>+L36/L8</f>
        <v>2.6889211626586595</v>
      </c>
      <c r="M37" s="3">
        <f>+M36/M8</f>
        <v>2.4444969689321603</v>
      </c>
      <c r="N37" s="79">
        <f>+N36/N8</f>
        <v>2.369268316670601</v>
      </c>
    </row>
    <row r="38" spans="1:14" ht="3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1"/>
      <c r="L38" s="11"/>
      <c r="M38" s="11"/>
      <c r="N38" s="58"/>
    </row>
    <row r="39" spans="1:14" ht="12.75">
      <c r="A39" s="10" t="s">
        <v>17</v>
      </c>
      <c r="B39" s="1"/>
      <c r="C39" s="1"/>
      <c r="D39" s="1"/>
      <c r="E39" s="1"/>
      <c r="F39" s="1"/>
      <c r="G39" s="1"/>
      <c r="H39" s="1"/>
      <c r="I39" s="1"/>
      <c r="J39" s="1"/>
      <c r="K39" s="11"/>
      <c r="L39" s="11"/>
      <c r="M39" s="11"/>
      <c r="N39" s="58"/>
    </row>
    <row r="40" spans="1:14" ht="14.25">
      <c r="A40" s="1"/>
      <c r="B40" s="1" t="s">
        <v>69</v>
      </c>
      <c r="C40" s="1"/>
      <c r="D40" s="1"/>
      <c r="E40" s="1"/>
      <c r="F40" s="77">
        <v>3</v>
      </c>
      <c r="G40" s="1" t="s">
        <v>18</v>
      </c>
      <c r="H40" s="1"/>
      <c r="I40" s="73">
        <v>15</v>
      </c>
      <c r="J40" s="1" t="s">
        <v>19</v>
      </c>
      <c r="K40" s="99">
        <f>+$F$40*$I$40</f>
        <v>45</v>
      </c>
      <c r="L40" s="99">
        <f>+$F$40*$I$40</f>
        <v>45</v>
      </c>
      <c r="M40" s="99">
        <f>+$F$40*$I$40</f>
        <v>45</v>
      </c>
      <c r="N40" s="100">
        <f>+$F$40*$I$40</f>
        <v>45</v>
      </c>
    </row>
    <row r="41" spans="1:14" ht="14.25">
      <c r="A41" s="1"/>
      <c r="B41" s="1" t="s">
        <v>76</v>
      </c>
      <c r="C41" s="1"/>
      <c r="D41" s="1"/>
      <c r="E41" s="1"/>
      <c r="F41" s="78">
        <v>0.05</v>
      </c>
      <c r="G41" s="1" t="s">
        <v>21</v>
      </c>
      <c r="H41" s="1"/>
      <c r="I41" s="1"/>
      <c r="J41" s="1"/>
      <c r="K41" s="169">
        <f>$F$41*K13</f>
        <v>28.8</v>
      </c>
      <c r="L41" s="169">
        <f>$F$41*L13</f>
        <v>36</v>
      </c>
      <c r="M41" s="169">
        <f>$F$41*M13</f>
        <v>43.2</v>
      </c>
      <c r="N41" s="170">
        <f>$F$41*N13</f>
        <v>45</v>
      </c>
    </row>
    <row r="42" spans="1:14" ht="14.25">
      <c r="A42" s="1"/>
      <c r="B42" s="1" t="s">
        <v>70</v>
      </c>
      <c r="C42" s="1"/>
      <c r="D42" s="1"/>
      <c r="E42" s="1"/>
      <c r="F42" s="14"/>
      <c r="G42" s="1"/>
      <c r="H42" s="1"/>
      <c r="I42" s="1"/>
      <c r="J42" s="1"/>
      <c r="K42" s="99">
        <f>$I$106</f>
        <v>123.56534843749999</v>
      </c>
      <c r="L42" s="99">
        <f>$I$106</f>
        <v>123.56534843749999</v>
      </c>
      <c r="M42" s="99">
        <f>$I$106</f>
        <v>123.56534843749999</v>
      </c>
      <c r="N42" s="100">
        <f>$I$106</f>
        <v>123.56534843749999</v>
      </c>
    </row>
    <row r="43" spans="1:14" ht="14.25">
      <c r="A43" s="1"/>
      <c r="B43" s="1" t="s">
        <v>75</v>
      </c>
      <c r="C43" s="1"/>
      <c r="D43" s="1"/>
      <c r="E43" s="1"/>
      <c r="F43" s="14" t="s">
        <v>20</v>
      </c>
      <c r="G43" s="1"/>
      <c r="H43" s="1"/>
      <c r="I43" s="1"/>
      <c r="J43" s="1"/>
      <c r="K43" s="99">
        <v>150</v>
      </c>
      <c r="L43" s="99">
        <v>195</v>
      </c>
      <c r="M43" s="99">
        <v>250</v>
      </c>
      <c r="N43" s="103">
        <v>250</v>
      </c>
    </row>
    <row r="44" spans="1:14" ht="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04"/>
      <c r="L44" s="104"/>
      <c r="M44" s="104"/>
      <c r="N44" s="105"/>
    </row>
    <row r="45" spans="1:14" ht="12.75">
      <c r="A45" s="10" t="s">
        <v>22</v>
      </c>
      <c r="B45" s="1"/>
      <c r="C45" s="1"/>
      <c r="D45" s="1"/>
      <c r="E45" s="1"/>
      <c r="F45" s="1"/>
      <c r="G45" s="1"/>
      <c r="H45" s="1"/>
      <c r="I45" s="1"/>
      <c r="J45" s="1"/>
      <c r="K45" s="99">
        <f>SUM(K40:K44)</f>
        <v>347.36534843749996</v>
      </c>
      <c r="L45" s="99">
        <f>SUM(L40:L44)</f>
        <v>399.5653484375</v>
      </c>
      <c r="M45" s="99">
        <f>SUM(M40:M44)</f>
        <v>461.7653484375</v>
      </c>
      <c r="N45" s="100">
        <f>SUM(N40:N44)</f>
        <v>463.5653484375</v>
      </c>
    </row>
    <row r="46" spans="1:14" ht="5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99"/>
      <c r="L46" s="99"/>
      <c r="M46" s="99"/>
      <c r="N46" s="102"/>
    </row>
    <row r="47" spans="1:14" ht="12.75">
      <c r="A47" s="10" t="s">
        <v>23</v>
      </c>
      <c r="B47" s="1"/>
      <c r="C47" s="1"/>
      <c r="D47" s="1"/>
      <c r="E47" s="1"/>
      <c r="F47" s="1"/>
      <c r="G47" s="65" t="s">
        <v>15</v>
      </c>
      <c r="H47" s="65"/>
      <c r="I47" s="1"/>
      <c r="J47" s="1"/>
      <c r="K47" s="99">
        <f>+K36+K45</f>
        <v>730.417952453296</v>
      </c>
      <c r="L47" s="99">
        <f>+L36+L45</f>
        <v>829.7927344628855</v>
      </c>
      <c r="M47" s="99">
        <f>+M36+M45</f>
        <v>931.1087664724748</v>
      </c>
      <c r="N47" s="100">
        <f>+N36+N45</f>
        <v>937.4190117716201</v>
      </c>
    </row>
    <row r="48" spans="1:14" ht="12.75">
      <c r="A48" s="10"/>
      <c r="B48" s="1"/>
      <c r="C48" s="1"/>
      <c r="D48" s="1"/>
      <c r="E48" s="1"/>
      <c r="F48" s="1"/>
      <c r="G48" s="65" t="s">
        <v>16</v>
      </c>
      <c r="H48" s="65"/>
      <c r="I48" s="1"/>
      <c r="J48" s="1"/>
      <c r="K48" s="99">
        <f>+K47/K8</f>
        <v>5.706390253541375</v>
      </c>
      <c r="L48" s="99">
        <f>+L47/L8</f>
        <v>5.186204590393034</v>
      </c>
      <c r="M48" s="99">
        <f>+M47/M8</f>
        <v>4.849524825377473</v>
      </c>
      <c r="N48" s="100">
        <f>+N47/N8</f>
        <v>4.687095058858101</v>
      </c>
    </row>
    <row r="49" spans="1:14" ht="5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99"/>
      <c r="L49" s="99"/>
      <c r="M49" s="99"/>
      <c r="N49" s="102"/>
    </row>
    <row r="50" spans="1:14" ht="12.75">
      <c r="A50" s="10" t="s">
        <v>24</v>
      </c>
      <c r="B50" s="1"/>
      <c r="C50" s="1"/>
      <c r="D50" s="1"/>
      <c r="E50" s="1"/>
      <c r="F50" s="1"/>
      <c r="G50" s="1"/>
      <c r="H50" s="1"/>
      <c r="I50" s="1"/>
      <c r="J50" s="1"/>
      <c r="K50" s="99">
        <f>+K13-K36</f>
        <v>192.94739598420387</v>
      </c>
      <c r="L50" s="99">
        <f>+L13-L36</f>
        <v>289.7726139746145</v>
      </c>
      <c r="M50" s="99">
        <f>+M13-M36</f>
        <v>394.6565819650252</v>
      </c>
      <c r="N50" s="203">
        <f>+N13-N36</f>
        <v>426.14633666587986</v>
      </c>
    </row>
    <row r="51" spans="1:14" ht="12.75">
      <c r="A51" s="10" t="s">
        <v>169</v>
      </c>
      <c r="B51" s="1"/>
      <c r="C51" s="1"/>
      <c r="D51" s="1"/>
      <c r="E51" s="1"/>
      <c r="F51" s="1"/>
      <c r="G51" s="1"/>
      <c r="H51" s="1"/>
      <c r="I51" s="1"/>
      <c r="J51" s="1"/>
      <c r="K51" s="99">
        <f>K13-(K36+K43)</f>
        <v>42.94739598420392</v>
      </c>
      <c r="L51" s="99">
        <f>L13-(L36+L43)</f>
        <v>94.7726139746145</v>
      </c>
      <c r="M51" s="99">
        <f>M13-(M36+M43)</f>
        <v>144.65658196502523</v>
      </c>
      <c r="N51" s="201">
        <f>N13-(N36+N43)</f>
        <v>176.14633666587986</v>
      </c>
    </row>
    <row r="52" spans="1:14" ht="12.75">
      <c r="A52" s="10" t="s">
        <v>25</v>
      </c>
      <c r="B52" s="1"/>
      <c r="C52" s="1"/>
      <c r="D52" s="1"/>
      <c r="E52" s="1"/>
      <c r="F52" s="1"/>
      <c r="G52" s="1"/>
      <c r="H52" s="1"/>
      <c r="I52" s="1"/>
      <c r="J52" s="1"/>
      <c r="K52" s="99">
        <f>+K13-K47</f>
        <v>-154.41795245329604</v>
      </c>
      <c r="L52" s="99">
        <f>+L13-L47</f>
        <v>-109.7927344628855</v>
      </c>
      <c r="M52" s="99">
        <f>+M13-M47</f>
        <v>-67.10876647247483</v>
      </c>
      <c r="N52" s="201">
        <f>+N13-N47</f>
        <v>-37.41901177162015</v>
      </c>
    </row>
    <row r="53" spans="1:14" ht="12.75">
      <c r="A53" s="171" t="s">
        <v>93</v>
      </c>
      <c r="B53" s="1"/>
      <c r="C53" s="1"/>
      <c r="D53" s="1"/>
      <c r="E53" s="1"/>
      <c r="F53" s="1"/>
      <c r="G53" s="1"/>
      <c r="H53" s="1"/>
      <c r="I53" s="1"/>
      <c r="J53" s="1"/>
      <c r="K53" s="99">
        <f>K52+K43</f>
        <v>-4.417952453296039</v>
      </c>
      <c r="L53" s="99">
        <f>L52+L43</f>
        <v>85.2072655371145</v>
      </c>
      <c r="M53" s="99">
        <f>M52+M43</f>
        <v>182.89123352752517</v>
      </c>
      <c r="N53" s="102">
        <f>N52+N43</f>
        <v>212.58098822837985</v>
      </c>
    </row>
    <row r="54" spans="1:14" ht="14.25">
      <c r="A54" s="171" t="s">
        <v>77</v>
      </c>
      <c r="B54" s="1"/>
      <c r="C54" s="1"/>
      <c r="D54" s="1"/>
      <c r="E54" s="1"/>
      <c r="F54" s="1"/>
      <c r="G54" s="1"/>
      <c r="H54" s="1"/>
      <c r="I54" s="1"/>
      <c r="J54" s="1"/>
      <c r="K54" s="99">
        <f>K52+K40+K41</f>
        <v>-80.61795245329604</v>
      </c>
      <c r="L54" s="99">
        <f>L52+L40+L41</f>
        <v>-28.792734462885505</v>
      </c>
      <c r="M54" s="99">
        <f>M52+M40+M41</f>
        <v>21.091233527525176</v>
      </c>
      <c r="N54" s="102">
        <f>N52+N40+N41</f>
        <v>52.58098822837985</v>
      </c>
    </row>
    <row r="55" spans="1:15" ht="12.75" customHeight="1">
      <c r="A55" s="189" t="s">
        <v>157</v>
      </c>
      <c r="B55" s="8"/>
      <c r="C55" s="8"/>
      <c r="D55" s="8"/>
      <c r="E55" s="8"/>
      <c r="F55" s="8"/>
      <c r="G55" s="189"/>
      <c r="H55" s="190"/>
      <c r="I55" s="8"/>
      <c r="J55" s="8"/>
      <c r="K55" s="191">
        <f>K52+K40+K41+K43</f>
        <v>69.38204754670396</v>
      </c>
      <c r="L55" s="191">
        <f>L52+L40+L41+L43</f>
        <v>166.2072655371145</v>
      </c>
      <c r="M55" s="191">
        <f>M52+M40+M41+M43</f>
        <v>271.09123352752516</v>
      </c>
      <c r="N55" s="202">
        <f>N52+N40+N41+N43</f>
        <v>302.58098822837985</v>
      </c>
      <c r="O55" s="5"/>
    </row>
    <row r="56" spans="1:15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7"/>
      <c r="M56" s="7"/>
      <c r="N56" s="7"/>
      <c r="O56" s="5"/>
    </row>
    <row r="57" spans="1:15" ht="12.75">
      <c r="A57" s="17" t="s">
        <v>79</v>
      </c>
      <c r="B57" s="17"/>
      <c r="C57" s="17"/>
      <c r="D57" s="67"/>
      <c r="E57" s="17"/>
      <c r="F57" s="17"/>
      <c r="G57" s="17"/>
      <c r="H57" s="17"/>
      <c r="I57" s="17"/>
      <c r="J57" s="17"/>
      <c r="K57" s="17"/>
      <c r="L57" s="18"/>
      <c r="M57" s="18"/>
      <c r="N57" s="18"/>
      <c r="O57" s="1"/>
    </row>
    <row r="58" spans="2:15" ht="12.75">
      <c r="B58" s="17" t="s">
        <v>80</v>
      </c>
      <c r="C58" s="17"/>
      <c r="D58" s="17"/>
      <c r="E58" s="17"/>
      <c r="F58" s="17"/>
      <c r="G58" s="17"/>
      <c r="H58" s="17"/>
      <c r="I58" s="17"/>
      <c r="J58" s="17"/>
      <c r="K58" s="17"/>
      <c r="L58" s="18"/>
      <c r="M58" s="18"/>
      <c r="N58" s="18"/>
      <c r="O58" s="1"/>
    </row>
    <row r="59" spans="1:15" ht="12.75">
      <c r="A59" s="17" t="s">
        <v>160</v>
      </c>
      <c r="B59" s="17"/>
      <c r="C59" s="17"/>
      <c r="D59" s="66"/>
      <c r="E59" s="37"/>
      <c r="F59" s="17"/>
      <c r="G59" s="17"/>
      <c r="H59" s="17"/>
      <c r="I59" s="17"/>
      <c r="J59" s="17"/>
      <c r="K59" s="17"/>
      <c r="L59" s="18"/>
      <c r="M59" s="18"/>
      <c r="N59" s="18"/>
      <c r="O59" s="1"/>
    </row>
    <row r="60" spans="1:15" ht="12.75">
      <c r="A60" s="17"/>
      <c r="B60" s="17" t="s">
        <v>82</v>
      </c>
      <c r="C60" s="17"/>
      <c r="D60" s="37"/>
      <c r="E60" s="37"/>
      <c r="F60" s="17"/>
      <c r="G60" s="17"/>
      <c r="H60" s="17"/>
      <c r="I60" s="17"/>
      <c r="J60" s="17"/>
      <c r="K60" s="17"/>
      <c r="L60" s="18"/>
      <c r="M60" s="18"/>
      <c r="N60" s="18"/>
      <c r="O60" s="1"/>
    </row>
    <row r="61" spans="1:15" ht="12.75">
      <c r="A61" s="17" t="s">
        <v>81</v>
      </c>
      <c r="B61" s="17"/>
      <c r="C61" s="17"/>
      <c r="D61" s="82"/>
      <c r="E61" s="17"/>
      <c r="F61" s="17"/>
      <c r="G61" s="17"/>
      <c r="H61" s="17"/>
      <c r="I61" s="17"/>
      <c r="J61" s="17"/>
      <c r="K61" s="17"/>
      <c r="L61" s="18"/>
      <c r="M61" s="18"/>
      <c r="N61" s="18"/>
      <c r="O61" s="1"/>
    </row>
    <row r="62" spans="1:15" ht="13.5">
      <c r="A62" s="16">
        <v>1</v>
      </c>
      <c r="B62" s="17" t="s">
        <v>159</v>
      </c>
      <c r="C62" s="17"/>
      <c r="D62" s="37"/>
      <c r="E62" s="17"/>
      <c r="F62" s="17"/>
      <c r="G62" s="17"/>
      <c r="H62" s="17"/>
      <c r="I62" s="17"/>
      <c r="J62" s="17"/>
      <c r="K62" s="17"/>
      <c r="L62" s="18"/>
      <c r="M62" s="18"/>
      <c r="N62" s="18"/>
      <c r="O62" s="1"/>
    </row>
    <row r="63" spans="2:15" ht="12.75">
      <c r="B63" s="17" t="s">
        <v>174</v>
      </c>
      <c r="C63" s="17"/>
      <c r="D63" s="17"/>
      <c r="E63" s="17"/>
      <c r="F63" s="17"/>
      <c r="G63" s="17"/>
      <c r="H63" s="17"/>
      <c r="I63" s="17"/>
      <c r="J63" s="17"/>
      <c r="K63" s="17"/>
      <c r="L63" s="18"/>
      <c r="M63" s="18"/>
      <c r="N63" s="18"/>
      <c r="O63" s="1"/>
    </row>
    <row r="64" spans="1:15" ht="13.5">
      <c r="A64" s="16">
        <v>3</v>
      </c>
      <c r="B64" s="17" t="s">
        <v>150</v>
      </c>
      <c r="C64" s="17"/>
      <c r="D64" s="17"/>
      <c r="E64" s="17"/>
      <c r="F64" s="17"/>
      <c r="G64" s="17"/>
      <c r="H64" s="17"/>
      <c r="I64" s="17"/>
      <c r="J64" s="17"/>
      <c r="K64" s="17"/>
      <c r="L64" s="18"/>
      <c r="M64" s="18"/>
      <c r="N64" s="18"/>
      <c r="O64" s="17"/>
    </row>
    <row r="65" spans="1:15" ht="13.5">
      <c r="A65" s="16"/>
      <c r="B65" s="17"/>
      <c r="C65" s="17" t="s">
        <v>91</v>
      </c>
      <c r="D65" s="17"/>
      <c r="E65" s="17"/>
      <c r="F65" s="17"/>
      <c r="G65" s="17"/>
      <c r="H65" s="17"/>
      <c r="I65" s="17"/>
      <c r="J65" s="17"/>
      <c r="K65" s="17"/>
      <c r="L65" s="18"/>
      <c r="M65" s="18"/>
      <c r="N65" s="18"/>
      <c r="O65" s="17"/>
    </row>
    <row r="66" spans="1:15" ht="13.5">
      <c r="A66" s="16">
        <v>4</v>
      </c>
      <c r="B66" s="17" t="s">
        <v>26</v>
      </c>
      <c r="C66" s="17"/>
      <c r="D66" s="17"/>
      <c r="E66" s="17"/>
      <c r="F66" s="17"/>
      <c r="G66" s="17"/>
      <c r="H66" s="17"/>
      <c r="I66" s="17"/>
      <c r="J66" s="17"/>
      <c r="K66" s="17"/>
      <c r="L66" s="18"/>
      <c r="M66" s="18"/>
      <c r="N66" s="18"/>
      <c r="O66" s="17"/>
    </row>
    <row r="67" spans="1:15" ht="12.75">
      <c r="A67" s="17"/>
      <c r="B67" s="17"/>
      <c r="C67" s="17" t="s">
        <v>114</v>
      </c>
      <c r="D67" s="17"/>
      <c r="E67" s="17"/>
      <c r="F67" s="17"/>
      <c r="G67" s="17"/>
      <c r="H67" s="17"/>
      <c r="I67" s="17"/>
      <c r="J67" s="17"/>
      <c r="K67" s="17"/>
      <c r="L67" s="18"/>
      <c r="M67" s="18"/>
      <c r="N67" s="18"/>
      <c r="O67" s="17"/>
    </row>
    <row r="68" spans="1:15" ht="12.75">
      <c r="A68" s="17"/>
      <c r="B68" s="17"/>
      <c r="C68" s="17" t="s">
        <v>101</v>
      </c>
      <c r="D68" s="17"/>
      <c r="E68" s="17"/>
      <c r="F68" s="17"/>
      <c r="G68" s="17"/>
      <c r="H68" s="17"/>
      <c r="I68" s="17"/>
      <c r="J68" s="17"/>
      <c r="K68" s="17"/>
      <c r="L68" s="18"/>
      <c r="M68" s="18"/>
      <c r="N68" s="18"/>
      <c r="O68" s="17"/>
    </row>
    <row r="69" spans="1:15" ht="12.75">
      <c r="A69" s="17"/>
      <c r="B69" s="17"/>
      <c r="C69" s="17" t="s">
        <v>97</v>
      </c>
      <c r="D69" s="17"/>
      <c r="E69" s="17"/>
      <c r="F69" s="67">
        <v>750</v>
      </c>
      <c r="G69" s="112" t="s">
        <v>98</v>
      </c>
      <c r="H69" s="17"/>
      <c r="I69" s="67">
        <v>620</v>
      </c>
      <c r="J69" s="112" t="s">
        <v>99</v>
      </c>
      <c r="K69" s="112"/>
      <c r="L69" s="18"/>
      <c r="M69" s="114">
        <v>450</v>
      </c>
      <c r="N69" s="113" t="s">
        <v>12</v>
      </c>
      <c r="O69" s="17"/>
    </row>
    <row r="70" spans="1:15" ht="12.75">
      <c r="A70" s="17"/>
      <c r="B70" s="17"/>
      <c r="C70" s="17" t="s">
        <v>102</v>
      </c>
      <c r="D70" s="17"/>
      <c r="E70" s="17"/>
      <c r="F70" s="37"/>
      <c r="G70" s="112"/>
      <c r="H70" s="17"/>
      <c r="I70" s="37"/>
      <c r="J70" s="112"/>
      <c r="K70" s="112"/>
      <c r="L70" s="18"/>
      <c r="M70" s="118"/>
      <c r="N70" s="113"/>
      <c r="O70" s="17"/>
    </row>
    <row r="71" spans="1:15" ht="13.5">
      <c r="A71" s="16">
        <v>5</v>
      </c>
      <c r="B71" s="17" t="s">
        <v>168</v>
      </c>
      <c r="C71" s="17"/>
      <c r="D71" s="17"/>
      <c r="E71" s="17"/>
      <c r="F71" s="17"/>
      <c r="G71" s="17"/>
      <c r="H71" s="17"/>
      <c r="I71" s="17"/>
      <c r="J71" s="17"/>
      <c r="K71" s="17"/>
      <c r="L71" s="18"/>
      <c r="M71" s="18"/>
      <c r="N71" s="18"/>
      <c r="O71" s="17"/>
    </row>
    <row r="72" spans="1:15" ht="13.5">
      <c r="A72" s="19">
        <v>6</v>
      </c>
      <c r="B72" s="20" t="s">
        <v>95</v>
      </c>
      <c r="C72" s="20"/>
      <c r="D72" s="20"/>
      <c r="E72" s="20"/>
      <c r="F72" s="17"/>
      <c r="G72" s="17"/>
      <c r="H72" s="17"/>
      <c r="I72" s="17"/>
      <c r="J72" s="17"/>
      <c r="K72" s="17"/>
      <c r="L72" s="18"/>
      <c r="M72" s="18"/>
      <c r="N72" s="18"/>
      <c r="O72" s="17"/>
    </row>
    <row r="73" spans="1:15" ht="13.5">
      <c r="A73" s="19"/>
      <c r="B73" s="20"/>
      <c r="C73" s="20" t="s">
        <v>27</v>
      </c>
      <c r="D73" s="20"/>
      <c r="E73" s="20"/>
      <c r="F73" s="17"/>
      <c r="G73" s="17"/>
      <c r="H73" s="17"/>
      <c r="I73" s="17"/>
      <c r="J73" s="17"/>
      <c r="K73" s="17"/>
      <c r="L73" s="18"/>
      <c r="M73" s="18"/>
      <c r="N73" s="18"/>
      <c r="O73" s="17"/>
    </row>
    <row r="74" spans="1:15" ht="13.5">
      <c r="A74" s="61">
        <v>7</v>
      </c>
      <c r="B74" s="20" t="s">
        <v>138</v>
      </c>
      <c r="C74" s="20"/>
      <c r="D74" s="20"/>
      <c r="E74" s="20"/>
      <c r="F74" s="17"/>
      <c r="G74" s="17"/>
      <c r="H74" s="17"/>
      <c r="I74" s="17"/>
      <c r="J74" s="17"/>
      <c r="K74" s="17"/>
      <c r="L74" s="18"/>
      <c r="M74" s="18"/>
      <c r="N74" s="18"/>
      <c r="O74" s="17"/>
    </row>
    <row r="75" spans="1:15" ht="13.5">
      <c r="A75" s="16">
        <v>8</v>
      </c>
      <c r="B75" s="17" t="s">
        <v>60</v>
      </c>
      <c r="C75" s="17"/>
      <c r="D75" s="17"/>
      <c r="E75" s="17"/>
      <c r="F75" s="17"/>
      <c r="G75" s="17"/>
      <c r="H75" s="17"/>
      <c r="I75" s="17"/>
      <c r="J75" s="17"/>
      <c r="K75" s="17"/>
      <c r="L75" s="18"/>
      <c r="M75" s="18"/>
      <c r="N75" s="18"/>
      <c r="O75" s="17"/>
    </row>
    <row r="76" spans="1:15" ht="13.5">
      <c r="A76" s="16">
        <v>9</v>
      </c>
      <c r="B76" s="17" t="s">
        <v>28</v>
      </c>
      <c r="C76" s="17"/>
      <c r="D76" s="17"/>
      <c r="E76" s="17"/>
      <c r="F76" s="17"/>
      <c r="G76" s="17"/>
      <c r="H76" s="17"/>
      <c r="I76" s="17"/>
      <c r="J76" s="17"/>
      <c r="K76" s="17"/>
      <c r="L76" s="18"/>
      <c r="M76" s="18"/>
      <c r="N76" s="18"/>
      <c r="O76" s="17"/>
    </row>
    <row r="77" spans="1:15" ht="13.5">
      <c r="A77" s="16">
        <v>10</v>
      </c>
      <c r="B77" s="17" t="s">
        <v>152</v>
      </c>
      <c r="C77" s="17"/>
      <c r="D77" s="17"/>
      <c r="E77" s="17"/>
      <c r="F77" s="17"/>
      <c r="G77" s="17"/>
      <c r="H77" s="17"/>
      <c r="I77" s="17"/>
      <c r="J77" s="17"/>
      <c r="K77" s="17"/>
      <c r="L77" s="18"/>
      <c r="M77" s="18"/>
      <c r="N77" s="18"/>
      <c r="O77" s="17"/>
    </row>
    <row r="78" spans="1:15" ht="13.5">
      <c r="A78" s="16">
        <v>11</v>
      </c>
      <c r="B78" s="17" t="s">
        <v>96</v>
      </c>
      <c r="C78" s="17"/>
      <c r="D78" s="17"/>
      <c r="E78" s="17"/>
      <c r="F78" s="17"/>
      <c r="G78" s="17"/>
      <c r="H78" s="17"/>
      <c r="I78" s="17"/>
      <c r="J78" s="17"/>
      <c r="K78" s="17"/>
      <c r="L78" s="18"/>
      <c r="M78" s="18"/>
      <c r="N78" s="18"/>
      <c r="O78" s="17"/>
    </row>
    <row r="79" spans="1:15" ht="13.5">
      <c r="A79" s="16">
        <v>12</v>
      </c>
      <c r="B79" s="17" t="s">
        <v>139</v>
      </c>
      <c r="C79" s="17"/>
      <c r="D79" s="17"/>
      <c r="E79" s="17"/>
      <c r="F79" s="17"/>
      <c r="G79" s="17"/>
      <c r="H79" s="17"/>
      <c r="I79" s="17"/>
      <c r="J79" s="17"/>
      <c r="K79" s="17"/>
      <c r="L79" s="18"/>
      <c r="M79" s="18"/>
      <c r="N79" s="18"/>
      <c r="O79" s="17"/>
    </row>
    <row r="80" spans="1:15" ht="13.5">
      <c r="A80" s="16">
        <v>13</v>
      </c>
      <c r="B80" s="17" t="s">
        <v>151</v>
      </c>
      <c r="C80" s="17"/>
      <c r="D80" s="17"/>
      <c r="E80" s="17"/>
      <c r="F80" s="17"/>
      <c r="G80" s="17"/>
      <c r="H80" s="17"/>
      <c r="I80" s="17"/>
      <c r="J80" s="17"/>
      <c r="K80" s="17"/>
      <c r="L80" s="18"/>
      <c r="M80" s="18"/>
      <c r="N80" s="18"/>
      <c r="O80" s="17"/>
    </row>
    <row r="81" spans="1:15" ht="12.75">
      <c r="A81" s="17"/>
      <c r="B81" s="17"/>
      <c r="C81" s="17" t="s">
        <v>29</v>
      </c>
      <c r="D81" s="17"/>
      <c r="E81" s="17"/>
      <c r="F81" s="17"/>
      <c r="G81" s="17"/>
      <c r="H81" s="17"/>
      <c r="I81" s="17"/>
      <c r="J81" s="17"/>
      <c r="K81" s="17"/>
      <c r="L81" s="18"/>
      <c r="M81" s="18"/>
      <c r="N81" s="18"/>
      <c r="O81" s="17"/>
    </row>
    <row r="82" spans="1:15" ht="13.5">
      <c r="A82" s="16">
        <v>14</v>
      </c>
      <c r="B82" s="17" t="s">
        <v>92</v>
      </c>
      <c r="C82" s="17"/>
      <c r="D82" s="17"/>
      <c r="E82" s="17"/>
      <c r="F82" s="17"/>
      <c r="G82" s="17"/>
      <c r="H82" s="17"/>
      <c r="I82" s="17"/>
      <c r="J82" s="17"/>
      <c r="K82" s="17"/>
      <c r="L82" s="18"/>
      <c r="M82" s="18"/>
      <c r="N82" s="18"/>
      <c r="O82" s="17"/>
    </row>
    <row r="83" spans="1:15" ht="13.5">
      <c r="A83" s="16"/>
      <c r="B83" s="17"/>
      <c r="C83" s="17" t="s">
        <v>140</v>
      </c>
      <c r="D83" s="17"/>
      <c r="E83" s="17"/>
      <c r="F83" s="17"/>
      <c r="G83" s="17"/>
      <c r="H83" s="17"/>
      <c r="I83" s="17"/>
      <c r="J83" s="17"/>
      <c r="K83" s="17"/>
      <c r="L83" s="18"/>
      <c r="M83" s="18"/>
      <c r="N83" s="18"/>
      <c r="O83" s="17"/>
    </row>
    <row r="84" spans="1:15" ht="13.5">
      <c r="A84" s="16">
        <v>15</v>
      </c>
      <c r="B84" s="17" t="s">
        <v>140</v>
      </c>
      <c r="C84" s="17"/>
      <c r="D84" s="17"/>
      <c r="E84" s="17"/>
      <c r="F84" s="17"/>
      <c r="G84" s="17"/>
      <c r="H84" s="17"/>
      <c r="I84" s="17"/>
      <c r="J84" s="17"/>
      <c r="K84" s="17"/>
      <c r="L84" s="18"/>
      <c r="M84" s="18"/>
      <c r="N84" s="18"/>
      <c r="O84" s="17"/>
    </row>
    <row r="85" spans="1:15" ht="13.5">
      <c r="A85" s="16">
        <v>16</v>
      </c>
      <c r="B85" s="168" t="s">
        <v>145</v>
      </c>
      <c r="C85" s="1"/>
      <c r="D85" s="1"/>
      <c r="E85" s="1"/>
      <c r="F85" s="1"/>
      <c r="G85" s="1"/>
      <c r="H85" s="1"/>
      <c r="I85" s="1"/>
      <c r="J85" s="1"/>
      <c r="K85" s="1"/>
      <c r="L85" s="3"/>
      <c r="M85" s="3"/>
      <c r="N85" s="18"/>
      <c r="O85" s="17"/>
    </row>
    <row r="86" spans="1:15" ht="13.5">
      <c r="A86" s="16"/>
      <c r="B86" s="168" t="s">
        <v>141</v>
      </c>
      <c r="C86" s="1"/>
      <c r="D86" s="1"/>
      <c r="E86" s="1"/>
      <c r="F86" s="1"/>
      <c r="G86" s="1"/>
      <c r="H86" s="1"/>
      <c r="I86" s="1"/>
      <c r="J86" s="1"/>
      <c r="K86" s="1"/>
      <c r="L86" s="3"/>
      <c r="M86" s="3"/>
      <c r="N86" s="18"/>
      <c r="O86" s="17"/>
    </row>
    <row r="87" spans="1:15" ht="13.5">
      <c r="A87" s="16">
        <v>17</v>
      </c>
      <c r="B87" s="17" t="s">
        <v>78</v>
      </c>
      <c r="C87" s="17"/>
      <c r="D87" s="17"/>
      <c r="E87" s="17"/>
      <c r="F87" s="17"/>
      <c r="G87" s="17"/>
      <c r="H87" s="17"/>
      <c r="I87" s="17"/>
      <c r="J87" s="17"/>
      <c r="K87" s="17"/>
      <c r="L87" s="18"/>
      <c r="M87" s="18"/>
      <c r="N87" s="18"/>
      <c r="O87" s="17"/>
    </row>
    <row r="88" spans="1:15" ht="13.5">
      <c r="A88" s="16">
        <v>18</v>
      </c>
      <c r="B88" s="17" t="s">
        <v>30</v>
      </c>
      <c r="C88" s="17"/>
      <c r="D88" s="17"/>
      <c r="E88" s="17"/>
      <c r="F88" s="17"/>
      <c r="G88" s="17"/>
      <c r="H88" s="17"/>
      <c r="I88" s="17"/>
      <c r="J88" s="17"/>
      <c r="K88" s="17"/>
      <c r="L88" s="18"/>
      <c r="M88" s="18"/>
      <c r="N88" s="18"/>
      <c r="O88" s="17"/>
    </row>
    <row r="89" spans="1:15" ht="13.5">
      <c r="A89" s="16"/>
      <c r="B89" s="17"/>
      <c r="C89" s="17" t="s">
        <v>31</v>
      </c>
      <c r="D89" s="17"/>
      <c r="E89" s="17"/>
      <c r="F89" s="17"/>
      <c r="G89" s="17"/>
      <c r="H89" s="17"/>
      <c r="I89" s="17"/>
      <c r="J89" s="17"/>
      <c r="K89" s="17"/>
      <c r="L89" s="18"/>
      <c r="M89" s="18"/>
      <c r="N89" s="18"/>
      <c r="O89" s="17"/>
    </row>
    <row r="90" spans="1:15" ht="12.75">
      <c r="A90" s="21"/>
      <c r="B90" s="21"/>
      <c r="C90" s="91"/>
      <c r="D90" s="21"/>
      <c r="E90" s="21"/>
      <c r="F90" s="21"/>
      <c r="G90" s="22" t="s">
        <v>32</v>
      </c>
      <c r="H90" s="21"/>
      <c r="I90" s="21"/>
      <c r="J90" s="21"/>
      <c r="K90" s="21"/>
      <c r="L90" s="23"/>
      <c r="M90" s="23"/>
      <c r="N90" s="47"/>
      <c r="O90" s="48"/>
    </row>
    <row r="91" spans="1:15" ht="25.5" customHeight="1">
      <c r="A91" s="17"/>
      <c r="B91" s="17"/>
      <c r="C91" s="17"/>
      <c r="D91" s="17"/>
      <c r="E91" s="42" t="s">
        <v>33</v>
      </c>
      <c r="F91" s="24" t="s">
        <v>55</v>
      </c>
      <c r="G91" s="42" t="s">
        <v>52</v>
      </c>
      <c r="H91" s="42"/>
      <c r="I91" s="107" t="s">
        <v>53</v>
      </c>
      <c r="J91" s="24" t="s">
        <v>56</v>
      </c>
      <c r="K91" s="24" t="s">
        <v>44</v>
      </c>
      <c r="L91" s="131" t="s">
        <v>112</v>
      </c>
      <c r="M91" s="24" t="s">
        <v>34</v>
      </c>
      <c r="N91" s="18"/>
      <c r="O91" s="17"/>
    </row>
    <row r="92" spans="1:15" ht="12.75">
      <c r="A92" s="17"/>
      <c r="B92" s="94" t="s">
        <v>146</v>
      </c>
      <c r="C92" s="94"/>
      <c r="D92" s="94"/>
      <c r="E92" s="95">
        <v>1</v>
      </c>
      <c r="F92" s="96">
        <v>50500</v>
      </c>
      <c r="G92" s="178">
        <v>1000</v>
      </c>
      <c r="H92" s="97"/>
      <c r="I92" s="86">
        <f>'machinery costs'!K2</f>
        <v>6.500928125</v>
      </c>
      <c r="J92" s="98">
        <v>20.97</v>
      </c>
      <c r="K92" s="126">
        <f>0.64*E92</f>
        <v>0.64</v>
      </c>
      <c r="L92" s="132">
        <f>(G92*E92)/J92</f>
        <v>47.68717215069147</v>
      </c>
      <c r="M92" s="126">
        <f>0.74*E92</f>
        <v>0.74</v>
      </c>
      <c r="N92" s="18"/>
      <c r="O92" s="17"/>
    </row>
    <row r="93" spans="1:15" ht="12.75">
      <c r="A93" s="17"/>
      <c r="B93" s="67" t="s">
        <v>162</v>
      </c>
      <c r="C93" s="67"/>
      <c r="D93" s="67"/>
      <c r="E93" s="83">
        <v>1</v>
      </c>
      <c r="F93" s="84">
        <v>75500</v>
      </c>
      <c r="G93" s="179">
        <v>1000</v>
      </c>
      <c r="H93" s="39"/>
      <c r="I93" s="86">
        <f>'machinery costs'!K3</f>
        <v>9.719209375</v>
      </c>
      <c r="J93" s="87">
        <v>43.27</v>
      </c>
      <c r="K93" s="127">
        <f>0.34*E93</f>
        <v>0.34</v>
      </c>
      <c r="L93" s="133">
        <f aca="true" t="shared" si="0" ref="L93:L99">(G93*E93)/J93</f>
        <v>23.1107002542177</v>
      </c>
      <c r="M93" s="127">
        <f>0.56*E93</f>
        <v>0.56</v>
      </c>
      <c r="N93" s="18"/>
      <c r="O93" s="17"/>
    </row>
    <row r="94" spans="1:15" ht="12.75">
      <c r="A94" s="17"/>
      <c r="B94" s="67" t="s">
        <v>147</v>
      </c>
      <c r="C94" s="67"/>
      <c r="D94" s="67"/>
      <c r="E94" s="83">
        <v>2</v>
      </c>
      <c r="F94" s="84">
        <v>242500</v>
      </c>
      <c r="G94" s="179">
        <v>2000</v>
      </c>
      <c r="H94" s="39"/>
      <c r="I94" s="86">
        <f>'machinery costs'!K4</f>
        <v>15.6086640625</v>
      </c>
      <c r="J94" s="87">
        <v>44.12</v>
      </c>
      <c r="K94" s="127">
        <f>0.07*E94</f>
        <v>0.14</v>
      </c>
      <c r="L94" s="133">
        <f t="shared" si="0"/>
        <v>90.66183136899366</v>
      </c>
      <c r="M94" s="127">
        <f>E94*3.15</f>
        <v>6.3</v>
      </c>
      <c r="N94" s="18"/>
      <c r="O94" s="17"/>
    </row>
    <row r="95" spans="1:15" ht="12.75">
      <c r="A95" s="17"/>
      <c r="B95" s="67" t="s">
        <v>163</v>
      </c>
      <c r="C95" s="67"/>
      <c r="D95" s="67"/>
      <c r="E95" s="83">
        <v>1</v>
      </c>
      <c r="F95" s="84">
        <v>105500</v>
      </c>
      <c r="G95" s="179">
        <v>1000</v>
      </c>
      <c r="H95" s="39"/>
      <c r="I95" s="86">
        <f>'machinery costs'!K5</f>
        <v>12.5624125</v>
      </c>
      <c r="J95" s="87">
        <v>14</v>
      </c>
      <c r="K95" s="127">
        <f>0.53*E95</f>
        <v>0.53</v>
      </c>
      <c r="L95" s="133">
        <f t="shared" si="0"/>
        <v>71.42857142857143</v>
      </c>
      <c r="M95" s="127">
        <f>3.6*E95</f>
        <v>3.6</v>
      </c>
      <c r="N95" s="18"/>
      <c r="O95" s="17"/>
    </row>
    <row r="96" spans="1:15" ht="12.75">
      <c r="A96" s="17"/>
      <c r="B96" s="67" t="s">
        <v>167</v>
      </c>
      <c r="C96" s="67"/>
      <c r="D96" s="67"/>
      <c r="E96" s="83">
        <v>1</v>
      </c>
      <c r="F96" s="84">
        <v>360000</v>
      </c>
      <c r="G96" s="179">
        <v>2000</v>
      </c>
      <c r="H96" s="39"/>
      <c r="I96" s="86">
        <f>'machinery costs'!K6</f>
        <v>24.0406875</v>
      </c>
      <c r="J96" s="62" t="s">
        <v>64</v>
      </c>
      <c r="K96" s="125" t="s">
        <v>64</v>
      </c>
      <c r="L96" s="137">
        <f>L97</f>
        <v>147.27540500736376</v>
      </c>
      <c r="M96" s="128">
        <f>(L96*60.06)/1000</f>
        <v>8.845360824742267</v>
      </c>
      <c r="N96" s="18"/>
      <c r="O96" s="17"/>
    </row>
    <row r="97" spans="1:15" ht="12.75">
      <c r="A97" s="17"/>
      <c r="B97" s="67"/>
      <c r="C97" s="67" t="s">
        <v>164</v>
      </c>
      <c r="D97" s="67"/>
      <c r="E97" s="83">
        <v>1</v>
      </c>
      <c r="F97" s="84">
        <v>59000</v>
      </c>
      <c r="G97" s="179">
        <v>1000</v>
      </c>
      <c r="H97" s="39"/>
      <c r="I97" s="86">
        <f>'machinery costs'!K7</f>
        <v>7.880003125</v>
      </c>
      <c r="J97" s="88">
        <v>6.79</v>
      </c>
      <c r="K97" s="127">
        <f>1.88*E97</f>
        <v>1.88</v>
      </c>
      <c r="L97" s="133">
        <f t="shared" si="0"/>
        <v>147.27540500736376</v>
      </c>
      <c r="M97" s="128">
        <f>1.01*E97</f>
        <v>1.01</v>
      </c>
      <c r="N97" s="18"/>
      <c r="O97" s="17"/>
    </row>
    <row r="98" spans="1:15" ht="12.75">
      <c r="A98" s="17"/>
      <c r="B98" s="67" t="s">
        <v>144</v>
      </c>
      <c r="C98" s="67"/>
      <c r="D98" s="67"/>
      <c r="E98" s="83">
        <v>1</v>
      </c>
      <c r="F98" s="84">
        <v>21000</v>
      </c>
      <c r="G98" s="179">
        <v>1000</v>
      </c>
      <c r="H98" s="39"/>
      <c r="I98" s="86">
        <f>'machinery costs'!K8</f>
        <v>2.70335625</v>
      </c>
      <c r="J98" s="88">
        <v>18</v>
      </c>
      <c r="K98" s="127">
        <f>0.6*E98</f>
        <v>0.6</v>
      </c>
      <c r="L98" s="133">
        <f t="shared" si="0"/>
        <v>55.55555555555556</v>
      </c>
      <c r="M98" s="128">
        <f>0.21*E98</f>
        <v>0.21</v>
      </c>
      <c r="N98" s="18"/>
      <c r="O98" s="17"/>
    </row>
    <row r="99" spans="1:15" ht="12.75">
      <c r="A99" s="17"/>
      <c r="B99" s="67" t="s">
        <v>59</v>
      </c>
      <c r="C99" s="67"/>
      <c r="D99" s="67"/>
      <c r="E99" s="83">
        <v>1</v>
      </c>
      <c r="F99" s="84">
        <v>12000</v>
      </c>
      <c r="G99" s="179">
        <v>2000</v>
      </c>
      <c r="H99" s="39"/>
      <c r="I99" s="86">
        <f>'machinery costs'!K9</f>
        <v>0.7723874999999999</v>
      </c>
      <c r="J99" s="88">
        <v>34</v>
      </c>
      <c r="K99" s="127">
        <f>0.12*E99</f>
        <v>0.12</v>
      </c>
      <c r="L99" s="133">
        <f t="shared" si="0"/>
        <v>58.8235294117647</v>
      </c>
      <c r="M99" s="128">
        <v>0.15</v>
      </c>
      <c r="N99" s="18"/>
      <c r="O99" s="17"/>
    </row>
    <row r="100" spans="1:15" ht="12.75">
      <c r="A100" s="17"/>
      <c r="B100" s="67" t="s">
        <v>136</v>
      </c>
      <c r="C100" s="67"/>
      <c r="D100" s="67"/>
      <c r="E100" s="83">
        <v>1</v>
      </c>
      <c r="F100" s="84">
        <v>70000</v>
      </c>
      <c r="G100" s="179">
        <v>2000</v>
      </c>
      <c r="H100" s="39"/>
      <c r="I100" s="86">
        <f>'machinery costs'!K10</f>
        <v>4.438</v>
      </c>
      <c r="J100" s="62" t="s">
        <v>64</v>
      </c>
      <c r="K100" s="123" t="s">
        <v>48</v>
      </c>
      <c r="L100" s="134" t="s">
        <v>64</v>
      </c>
      <c r="M100" s="128">
        <v>3.5</v>
      </c>
      <c r="N100" s="18"/>
      <c r="O100" s="17"/>
    </row>
    <row r="101" spans="1:15" ht="12.75">
      <c r="A101" s="17"/>
      <c r="B101" s="67" t="s">
        <v>137</v>
      </c>
      <c r="C101" s="67"/>
      <c r="D101" s="67"/>
      <c r="E101" s="83">
        <v>1</v>
      </c>
      <c r="F101" s="84">
        <v>50500</v>
      </c>
      <c r="G101" s="179">
        <v>2000</v>
      </c>
      <c r="H101" s="39"/>
      <c r="I101" s="86">
        <f>'machinery costs'!K11</f>
        <v>3.2017</v>
      </c>
      <c r="J101" s="62" t="s">
        <v>64</v>
      </c>
      <c r="K101" s="182">
        <f>(L101*9.9)/1000</f>
        <v>0.7290132547864506</v>
      </c>
      <c r="L101" s="181">
        <f>L97*0.5</f>
        <v>73.63770250368188</v>
      </c>
      <c r="M101" s="128">
        <v>1</v>
      </c>
      <c r="N101" s="18"/>
      <c r="O101" s="17"/>
    </row>
    <row r="102" spans="1:15" ht="12.75">
      <c r="A102" s="17"/>
      <c r="B102" s="67" t="s">
        <v>165</v>
      </c>
      <c r="C102" s="67"/>
      <c r="D102" s="67"/>
      <c r="E102" s="83">
        <v>3</v>
      </c>
      <c r="F102" s="84">
        <v>274000</v>
      </c>
      <c r="G102" s="179">
        <v>2000</v>
      </c>
      <c r="H102" s="39"/>
      <c r="I102" s="86">
        <f>'machinery costs'!K12</f>
        <v>17.3716</v>
      </c>
      <c r="J102" s="63" t="s">
        <v>64</v>
      </c>
      <c r="K102" s="124" t="s">
        <v>64</v>
      </c>
      <c r="L102" s="137">
        <f>L92+L98+L101</f>
        <v>176.8804302099289</v>
      </c>
      <c r="M102" s="128">
        <f>(L102*4.38)/G102</f>
        <v>0.3873681421597443</v>
      </c>
      <c r="N102" s="18"/>
      <c r="O102" s="17"/>
    </row>
    <row r="103" spans="1:15" ht="12.75">
      <c r="A103" s="17"/>
      <c r="B103" s="67" t="s">
        <v>148</v>
      </c>
      <c r="C103" s="67"/>
      <c r="D103" s="67"/>
      <c r="E103" s="83">
        <v>3</v>
      </c>
      <c r="F103" s="84">
        <v>266000</v>
      </c>
      <c r="G103" s="179">
        <v>2000</v>
      </c>
      <c r="H103" s="39"/>
      <c r="I103" s="86">
        <f>'machinery costs'!K13</f>
        <v>16.864399999999996</v>
      </c>
      <c r="J103" s="63" t="s">
        <v>64</v>
      </c>
      <c r="K103" s="124" t="s">
        <v>64</v>
      </c>
      <c r="L103" s="137">
        <f>L93+L95+L99</f>
        <v>153.36280109455384</v>
      </c>
      <c r="M103" s="128">
        <f>(L103*4.26)/G103</f>
        <v>0.3266627663313997</v>
      </c>
      <c r="N103" s="18"/>
      <c r="O103" s="17"/>
    </row>
    <row r="104" spans="1:15" ht="12.75">
      <c r="A104" s="17"/>
      <c r="B104" s="92" t="s">
        <v>172</v>
      </c>
      <c r="C104" s="92"/>
      <c r="D104" s="92"/>
      <c r="E104" s="93">
        <v>1</v>
      </c>
      <c r="F104" s="85">
        <v>30000</v>
      </c>
      <c r="G104" s="180">
        <v>2000</v>
      </c>
      <c r="H104" s="40"/>
      <c r="I104" s="143">
        <f>'machinery costs'!K14</f>
        <v>1.902</v>
      </c>
      <c r="J104" s="64" t="s">
        <v>64</v>
      </c>
      <c r="K104" s="130">
        <f>0.21*E104</f>
        <v>0.21</v>
      </c>
      <c r="L104" s="135" t="s">
        <v>64</v>
      </c>
      <c r="M104" s="129">
        <v>0.15</v>
      </c>
      <c r="N104" s="18"/>
      <c r="O104" s="17"/>
    </row>
    <row r="105" spans="1:15" ht="12.75">
      <c r="A105" s="17"/>
      <c r="C105" s="17"/>
      <c r="D105" s="17"/>
      <c r="E105" s="27"/>
      <c r="F105" s="25"/>
      <c r="G105" s="25"/>
      <c r="H105" s="25"/>
      <c r="I105" s="43"/>
      <c r="J105" s="28" t="s">
        <v>50</v>
      </c>
      <c r="K105" s="90">
        <f>SUM(K92:K103)*M108+(K104*M108*1.2)</f>
        <v>18.30854639175258</v>
      </c>
      <c r="M105" s="26"/>
      <c r="N105" s="18"/>
      <c r="O105" s="17"/>
    </row>
    <row r="106" spans="1:15" ht="12.75">
      <c r="A106" s="17"/>
      <c r="B106" s="29" t="s">
        <v>57</v>
      </c>
      <c r="C106" s="29"/>
      <c r="D106" s="29"/>
      <c r="E106" s="29"/>
      <c r="F106" s="30"/>
      <c r="G106" s="30"/>
      <c r="H106" s="30"/>
      <c r="I106" s="89">
        <f>SUM(I92:I104)</f>
        <v>123.56534843749999</v>
      </c>
      <c r="J106" s="28" t="s">
        <v>51</v>
      </c>
      <c r="K106" s="90">
        <f>(K105*0.1)+K105</f>
        <v>20.139401030927836</v>
      </c>
      <c r="L106" s="45" t="s">
        <v>58</v>
      </c>
      <c r="M106" s="90">
        <f>SUM(M92:M104)</f>
        <v>26.77939173323341</v>
      </c>
      <c r="N106" s="18"/>
      <c r="O106" s="17"/>
    </row>
    <row r="107" spans="1:15" ht="12.75">
      <c r="A107" s="17"/>
      <c r="B107" s="29"/>
      <c r="C107" s="17"/>
      <c r="D107" s="17"/>
      <c r="E107" s="17"/>
      <c r="F107" s="41"/>
      <c r="G107" s="31"/>
      <c r="H107" s="31"/>
      <c r="I107" s="32"/>
      <c r="J107" s="29"/>
      <c r="K107" s="136"/>
      <c r="L107" s="136"/>
      <c r="M107" s="33"/>
      <c r="N107" s="18"/>
      <c r="O107" s="17"/>
    </row>
    <row r="108" spans="1:15" ht="12.75">
      <c r="A108" s="17"/>
      <c r="B108" s="17"/>
      <c r="C108" s="29"/>
      <c r="D108" s="29"/>
      <c r="E108" s="29"/>
      <c r="F108" s="34"/>
      <c r="G108" s="34"/>
      <c r="H108" s="34"/>
      <c r="I108" s="34"/>
      <c r="J108" s="205" t="s">
        <v>35</v>
      </c>
      <c r="K108" s="205"/>
      <c r="L108" s="205"/>
      <c r="M108" s="141">
        <v>3.5</v>
      </c>
      <c r="N108" s="18"/>
      <c r="O108" s="17"/>
    </row>
    <row r="109" spans="1:15" ht="12.75">
      <c r="A109" s="17" t="s">
        <v>142</v>
      </c>
      <c r="B109" s="29"/>
      <c r="C109" s="29"/>
      <c r="D109" s="29"/>
      <c r="E109" s="29"/>
      <c r="F109" s="34"/>
      <c r="G109" s="34"/>
      <c r="H109" s="34"/>
      <c r="I109" s="32"/>
      <c r="J109" s="29"/>
      <c r="K109" s="33"/>
      <c r="L109" s="33"/>
      <c r="M109" s="33"/>
      <c r="N109" s="18"/>
      <c r="O109" s="17"/>
    </row>
    <row r="110" spans="1:15" ht="12.75">
      <c r="A110" s="17" t="s">
        <v>143</v>
      </c>
      <c r="B110" s="29"/>
      <c r="C110" s="29"/>
      <c r="D110" s="29"/>
      <c r="E110" s="29"/>
      <c r="F110" s="34"/>
      <c r="G110" s="34"/>
      <c r="H110" s="34"/>
      <c r="I110" s="32"/>
      <c r="J110" s="29"/>
      <c r="K110" s="33"/>
      <c r="L110" s="33"/>
      <c r="M110" s="33"/>
      <c r="N110" s="18"/>
      <c r="O110" s="17"/>
    </row>
    <row r="111" spans="1:15" ht="12.75">
      <c r="A111" s="188" t="s">
        <v>154</v>
      </c>
      <c r="B111" s="29"/>
      <c r="C111" s="29"/>
      <c r="D111" s="29"/>
      <c r="E111" s="29"/>
      <c r="F111" s="34"/>
      <c r="G111" s="34"/>
      <c r="H111" s="34"/>
      <c r="I111" s="32"/>
      <c r="J111" s="29"/>
      <c r="K111" s="33"/>
      <c r="L111" s="33"/>
      <c r="M111" s="33"/>
      <c r="N111" s="18"/>
      <c r="O111" s="17"/>
    </row>
    <row r="112" spans="1:15" ht="12.75">
      <c r="A112" s="17" t="s">
        <v>46</v>
      </c>
      <c r="B112" s="17"/>
      <c r="C112" s="17"/>
      <c r="D112" s="17"/>
      <c r="E112" s="17"/>
      <c r="F112" s="35"/>
      <c r="G112" s="35"/>
      <c r="H112" s="35"/>
      <c r="I112" s="32"/>
      <c r="J112" s="17"/>
      <c r="K112" s="18"/>
      <c r="L112" s="18"/>
      <c r="M112" s="18"/>
      <c r="N112" s="18"/>
      <c r="O112" s="17"/>
    </row>
    <row r="113" spans="1:15" ht="12.75">
      <c r="A113" s="17" t="s">
        <v>103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36"/>
      <c r="M113" s="18"/>
      <c r="N113" s="18"/>
      <c r="O113" s="17"/>
    </row>
    <row r="114" spans="1:15" ht="12.75">
      <c r="A114" s="17" t="s">
        <v>83</v>
      </c>
      <c r="B114" s="17"/>
      <c r="C114" s="17"/>
      <c r="D114" s="17"/>
      <c r="E114" s="37"/>
      <c r="F114" s="37"/>
      <c r="G114" s="37"/>
      <c r="H114" s="37"/>
      <c r="I114" s="37"/>
      <c r="J114" s="17"/>
      <c r="K114" s="17"/>
      <c r="L114" s="18"/>
      <c r="M114" s="18"/>
      <c r="N114" s="18"/>
      <c r="O114" s="17"/>
    </row>
    <row r="115" spans="1:15" ht="12.75">
      <c r="A115" s="51" t="s">
        <v>65</v>
      </c>
      <c r="B115" s="17"/>
      <c r="C115" s="38"/>
      <c r="D115" s="17"/>
      <c r="E115" s="37"/>
      <c r="F115" s="37"/>
      <c r="G115" s="37"/>
      <c r="H115" s="37"/>
      <c r="I115" s="37"/>
      <c r="J115" s="17"/>
      <c r="K115" s="17"/>
      <c r="L115" s="18"/>
      <c r="M115" s="18"/>
      <c r="N115" s="18"/>
      <c r="O115" s="17"/>
    </row>
    <row r="116" spans="1:15" ht="12.75">
      <c r="A116" s="17" t="s">
        <v>42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8"/>
      <c r="M116" s="18"/>
      <c r="N116" s="18"/>
      <c r="O116" s="17"/>
    </row>
    <row r="117" spans="1:15" ht="12.75">
      <c r="A117" s="17" t="s">
        <v>156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8"/>
      <c r="M117" s="18"/>
      <c r="N117" s="18"/>
      <c r="O117" s="17"/>
    </row>
    <row r="118" spans="1:15" ht="12.75">
      <c r="A118" s="17" t="s">
        <v>36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8"/>
      <c r="M118" s="18"/>
      <c r="N118" s="18"/>
      <c r="O118" s="17"/>
    </row>
    <row r="119" spans="1:15" ht="12.75">
      <c r="A119" s="17" t="s">
        <v>173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8"/>
      <c r="M119" s="18"/>
      <c r="N119" s="18"/>
      <c r="O119" s="17"/>
    </row>
    <row r="120" spans="1:15" ht="12.75">
      <c r="A120" s="17" t="s">
        <v>49</v>
      </c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8"/>
      <c r="M120" s="18"/>
      <c r="N120" s="18"/>
      <c r="O120" s="17"/>
    </row>
    <row r="121" ht="12.75">
      <c r="A121" s="17" t="s">
        <v>166</v>
      </c>
    </row>
    <row r="122" ht="12.75">
      <c r="A122" s="168" t="s">
        <v>176</v>
      </c>
    </row>
  </sheetData>
  <sheetProtection/>
  <mergeCells count="7">
    <mergeCell ref="J108:L108"/>
    <mergeCell ref="C1:M1"/>
    <mergeCell ref="C2:M2"/>
    <mergeCell ref="A6:D6"/>
    <mergeCell ref="E6:G6"/>
    <mergeCell ref="M4:N4"/>
    <mergeCell ref="E3:K3"/>
  </mergeCells>
  <hyperlinks>
    <hyperlink ref="A111" r:id="rId1" display="http://faculty.apec.umn.edu/wlazarus/documents/machdata.pdf"/>
  </hyperlinks>
  <printOptions horizontalCentered="1"/>
  <pageMargins left="0.32" right="0.27" top="0.5" bottom="0.5" header="0.5" footer="0.5"/>
  <pageSetup fitToHeight="2" fitToWidth="1" horizontalDpi="600" verticalDpi="600" orientation="portrait" scale="93" r:id="rId3"/>
  <rowBreaks count="1" manualBreakCount="1">
    <brk id="54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7.8515625" style="0" customWidth="1"/>
    <col min="3" max="3" width="14.7109375" style="0" customWidth="1"/>
    <col min="4" max="4" width="17.00390625" style="0" customWidth="1"/>
    <col min="5" max="5" width="13.28125" style="0" customWidth="1"/>
    <col min="6" max="6" width="13.8515625" style="0" customWidth="1"/>
    <col min="8" max="8" width="11.8515625" style="0" customWidth="1"/>
    <col min="9" max="10" width="12.57421875" style="0" customWidth="1"/>
    <col min="11" max="11" width="11.7109375" style="0" customWidth="1"/>
  </cols>
  <sheetData>
    <row r="1" spans="1:11" ht="12.75">
      <c r="A1" t="s">
        <v>108</v>
      </c>
      <c r="D1" t="s">
        <v>109</v>
      </c>
      <c r="E1" t="s">
        <v>110</v>
      </c>
      <c r="F1" t="s">
        <v>111</v>
      </c>
      <c r="G1" t="s">
        <v>104</v>
      </c>
      <c r="H1" t="s">
        <v>105</v>
      </c>
      <c r="I1" t="s">
        <v>106</v>
      </c>
      <c r="J1" s="138" t="s">
        <v>113</v>
      </c>
      <c r="K1" s="193" t="s">
        <v>107</v>
      </c>
    </row>
    <row r="2" spans="1:16" ht="12.75">
      <c r="A2" s="94" t="s">
        <v>146</v>
      </c>
      <c r="B2" s="94"/>
      <c r="C2" s="94"/>
      <c r="D2" s="121">
        <f>('corn-cons'!F92+('corn-cons'!F92*0.34)+E2)/2</f>
        <v>35918.125</v>
      </c>
      <c r="E2" s="121">
        <f>('corn-cons'!F92-('corn-cons'!F92*0.34))/8</f>
        <v>4166.25</v>
      </c>
      <c r="F2" s="139">
        <f>0.05*D2</f>
        <v>1795.90625</v>
      </c>
      <c r="G2" s="121">
        <f aca="true" t="shared" si="0" ref="G2:G14">0.005*D2</f>
        <v>179.59062500000002</v>
      </c>
      <c r="H2" s="121">
        <f aca="true" t="shared" si="1" ref="H2:H14">0.01*D2</f>
        <v>359.18125000000003</v>
      </c>
      <c r="I2" s="121">
        <f>SUM(E2:H2)</f>
        <v>6500.928124999999</v>
      </c>
      <c r="J2" s="139">
        <v>1000</v>
      </c>
      <c r="K2" s="194">
        <f>I2/J2</f>
        <v>6.500928125</v>
      </c>
      <c r="L2" s="119"/>
      <c r="N2" s="101"/>
      <c r="P2" s="101"/>
    </row>
    <row r="3" spans="1:16" ht="12.75">
      <c r="A3" s="67" t="s">
        <v>162</v>
      </c>
      <c r="B3" s="67"/>
      <c r="C3" s="120"/>
      <c r="D3" s="119">
        <f>('corn-cons'!F93+('corn-cons'!F93*0.34)+E3)/2</f>
        <v>53699.375</v>
      </c>
      <c r="E3" s="119">
        <f>('corn-cons'!F93-('corn-cons'!F93*0.34))/8</f>
        <v>6228.75</v>
      </c>
      <c r="F3" s="119">
        <f>0.05*D3</f>
        <v>2684.96875</v>
      </c>
      <c r="G3" s="119">
        <f t="shared" si="0"/>
        <v>268.496875</v>
      </c>
      <c r="H3" s="119">
        <f t="shared" si="1"/>
        <v>536.99375</v>
      </c>
      <c r="I3" s="119">
        <f aca="true" t="shared" si="2" ref="I3:I14">SUM(E3:H3)</f>
        <v>9719.209375</v>
      </c>
      <c r="J3" s="119">
        <v>1000</v>
      </c>
      <c r="K3" s="195">
        <f aca="true" t="shared" si="3" ref="K3:K14">I3/J3</f>
        <v>9.719209375</v>
      </c>
      <c r="L3" s="119"/>
      <c r="N3" s="101"/>
      <c r="P3" s="101"/>
    </row>
    <row r="4" spans="1:16" ht="12.75">
      <c r="A4" s="67" t="s">
        <v>147</v>
      </c>
      <c r="B4" s="67"/>
      <c r="C4" s="120"/>
      <c r="D4" s="119">
        <f>('corn-cons'!F94+('corn-cons'!F94*0.34)+E4)/2</f>
        <v>172478.125</v>
      </c>
      <c r="E4" s="119">
        <f>('corn-cons'!F94-('corn-cons'!F94*0.34))/8</f>
        <v>20006.25</v>
      </c>
      <c r="F4" s="119">
        <f aca="true" t="shared" si="4" ref="F4:F14">0.05*D4</f>
        <v>8623.90625</v>
      </c>
      <c r="G4" s="119">
        <f t="shared" si="0"/>
        <v>862.390625</v>
      </c>
      <c r="H4" s="119">
        <f t="shared" si="1"/>
        <v>1724.78125</v>
      </c>
      <c r="I4" s="119">
        <f t="shared" si="2"/>
        <v>31217.328125</v>
      </c>
      <c r="J4" s="119">
        <v>2000</v>
      </c>
      <c r="K4" s="195">
        <f t="shared" si="3"/>
        <v>15.6086640625</v>
      </c>
      <c r="L4" s="119"/>
      <c r="N4" s="101"/>
      <c r="P4" s="101"/>
    </row>
    <row r="5" spans="1:16" ht="12.75">
      <c r="A5" s="67" t="s">
        <v>163</v>
      </c>
      <c r="B5" s="67"/>
      <c r="C5" s="120"/>
      <c r="D5" s="119">
        <f>('corn-cons'!F95+('corn-cons'!F95*0.44)+E5)/2</f>
        <v>79652.5</v>
      </c>
      <c r="E5" s="119">
        <f>('corn-cons'!F95-('corn-cons'!F95*0.44))/8</f>
        <v>7385</v>
      </c>
      <c r="F5" s="119">
        <f t="shared" si="4"/>
        <v>3982.625</v>
      </c>
      <c r="G5" s="119">
        <f t="shared" si="0"/>
        <v>398.2625</v>
      </c>
      <c r="H5" s="119">
        <f t="shared" si="1"/>
        <v>796.525</v>
      </c>
      <c r="I5" s="119">
        <f t="shared" si="2"/>
        <v>12562.4125</v>
      </c>
      <c r="J5" s="119">
        <v>1000</v>
      </c>
      <c r="K5" s="195">
        <f t="shared" si="3"/>
        <v>12.5624125</v>
      </c>
      <c r="L5" s="119"/>
      <c r="N5" s="101"/>
      <c r="P5" s="101"/>
    </row>
    <row r="6" spans="1:16" ht="12.75">
      <c r="A6" s="67" t="s">
        <v>149</v>
      </c>
      <c r="B6" s="67"/>
      <c r="C6" s="120"/>
      <c r="D6" s="119">
        <f>('corn-cons'!F96+('corn-cons'!F96*0.29)+E6)/2</f>
        <v>248175</v>
      </c>
      <c r="E6" s="119">
        <f>('corn-cons'!F96-('corn-cons'!F96*0.29))/8</f>
        <v>31950</v>
      </c>
      <c r="F6" s="119">
        <f t="shared" si="4"/>
        <v>12408.75</v>
      </c>
      <c r="G6" s="140">
        <f t="shared" si="0"/>
        <v>1240.875</v>
      </c>
      <c r="H6" s="119">
        <f t="shared" si="1"/>
        <v>2481.75</v>
      </c>
      <c r="I6" s="119">
        <f t="shared" si="2"/>
        <v>48081.375</v>
      </c>
      <c r="J6" s="119">
        <v>2000</v>
      </c>
      <c r="K6" s="195">
        <f t="shared" si="3"/>
        <v>24.0406875</v>
      </c>
      <c r="L6" s="119"/>
      <c r="N6" s="101"/>
      <c r="P6" s="101"/>
    </row>
    <row r="7" spans="1:16" ht="12.75">
      <c r="A7" s="67"/>
      <c r="B7" s="67" t="s">
        <v>164</v>
      </c>
      <c r="C7" s="120"/>
      <c r="D7" s="119">
        <f>('corn-cons'!F97+('corn-cons'!F97*0.29)+E7)/2</f>
        <v>40673.125</v>
      </c>
      <c r="E7" s="119">
        <f>('corn-cons'!F97-('corn-cons'!F97*0.29))/8</f>
        <v>5236.25</v>
      </c>
      <c r="F7" s="119">
        <f t="shared" si="4"/>
        <v>2033.65625</v>
      </c>
      <c r="G7" s="119">
        <f t="shared" si="0"/>
        <v>203.365625</v>
      </c>
      <c r="H7" s="119">
        <f t="shared" si="1"/>
        <v>406.73125</v>
      </c>
      <c r="I7" s="119">
        <f t="shared" si="2"/>
        <v>7880.003125</v>
      </c>
      <c r="J7" s="119">
        <v>1000</v>
      </c>
      <c r="K7" s="195">
        <f t="shared" si="3"/>
        <v>7.880003125</v>
      </c>
      <c r="L7" s="119"/>
      <c r="N7" s="101"/>
      <c r="P7" s="101"/>
    </row>
    <row r="8" spans="1:16" ht="12.75">
      <c r="A8" s="67" t="s">
        <v>144</v>
      </c>
      <c r="B8" s="67"/>
      <c r="C8" s="120"/>
      <c r="D8" s="119">
        <f>('corn-cons'!F98+('corn-cons'!F98*0.34)+E8)/2</f>
        <v>14936.25</v>
      </c>
      <c r="E8" s="119">
        <f>('corn-cons'!F98-('corn-cons'!F98*0.34))/8</f>
        <v>1732.5</v>
      </c>
      <c r="F8" s="119">
        <f t="shared" si="4"/>
        <v>746.8125</v>
      </c>
      <c r="G8" s="119">
        <f t="shared" si="0"/>
        <v>74.68125</v>
      </c>
      <c r="H8" s="119">
        <f t="shared" si="1"/>
        <v>149.3625</v>
      </c>
      <c r="I8" s="119">
        <f t="shared" si="2"/>
        <v>2703.3562500000003</v>
      </c>
      <c r="J8" s="119">
        <v>1000</v>
      </c>
      <c r="K8" s="195">
        <f t="shared" si="3"/>
        <v>2.70335625</v>
      </c>
      <c r="L8" s="119"/>
      <c r="N8" s="101"/>
      <c r="P8" s="101"/>
    </row>
    <row r="9" spans="1:16" ht="12.75">
      <c r="A9" s="67" t="s">
        <v>59</v>
      </c>
      <c r="B9" s="67"/>
      <c r="C9" s="120"/>
      <c r="D9" s="119">
        <f>('corn-cons'!F99+('corn-cons'!F99*0.34)+E9)/2</f>
        <v>8535</v>
      </c>
      <c r="E9" s="119">
        <f>('corn-cons'!F99-('corn-cons'!F99*0.34))/8</f>
        <v>990</v>
      </c>
      <c r="F9" s="119">
        <f t="shared" si="4"/>
        <v>426.75</v>
      </c>
      <c r="G9" s="119">
        <f t="shared" si="0"/>
        <v>42.675000000000004</v>
      </c>
      <c r="H9" s="119">
        <f t="shared" si="1"/>
        <v>85.35000000000001</v>
      </c>
      <c r="I9" s="119">
        <f t="shared" si="2"/>
        <v>1544.7749999999999</v>
      </c>
      <c r="J9" s="119">
        <v>2000</v>
      </c>
      <c r="K9" s="195">
        <f t="shared" si="3"/>
        <v>0.7723874999999999</v>
      </c>
      <c r="L9" s="119"/>
      <c r="N9" s="101"/>
      <c r="P9" s="101"/>
    </row>
    <row r="10" spans="1:16" ht="12.75">
      <c r="A10" s="67" t="s">
        <v>136</v>
      </c>
      <c r="B10" s="67"/>
      <c r="C10" s="120"/>
      <c r="D10" s="119">
        <f>('corn-cons'!F100+('corn-cons'!F100*0.36)+E10)/2</f>
        <v>50400</v>
      </c>
      <c r="E10" s="119">
        <f>('corn-cons'!F100-('corn-cons'!F100*0.36))/8</f>
        <v>5600</v>
      </c>
      <c r="F10" s="119">
        <f t="shared" si="4"/>
        <v>2520</v>
      </c>
      <c r="G10" s="119">
        <f t="shared" si="0"/>
        <v>252</v>
      </c>
      <c r="H10" s="119">
        <f t="shared" si="1"/>
        <v>504</v>
      </c>
      <c r="I10" s="119">
        <f t="shared" si="2"/>
        <v>8876</v>
      </c>
      <c r="J10" s="119">
        <v>2000</v>
      </c>
      <c r="K10" s="195">
        <f t="shared" si="3"/>
        <v>4.438</v>
      </c>
      <c r="L10" s="119"/>
      <c r="N10" s="101"/>
      <c r="P10" s="101"/>
    </row>
    <row r="11" spans="1:16" ht="12.75">
      <c r="A11" s="67" t="s">
        <v>137</v>
      </c>
      <c r="B11" s="67"/>
      <c r="C11" s="120"/>
      <c r="D11" s="119">
        <f>('corn-cons'!F101+('corn-cons'!F101*0.36)+E11)/2</f>
        <v>36360</v>
      </c>
      <c r="E11" s="119">
        <f>('corn-cons'!F101-('corn-cons'!F101*0.36))/8</f>
        <v>4040</v>
      </c>
      <c r="F11" s="119">
        <f t="shared" si="4"/>
        <v>1818</v>
      </c>
      <c r="G11" s="119">
        <f>0.005*D11</f>
        <v>181.8</v>
      </c>
      <c r="H11" s="119">
        <f>0.01*D11</f>
        <v>363.6</v>
      </c>
      <c r="I11" s="119">
        <f>SUM(E11:H11)</f>
        <v>6403.400000000001</v>
      </c>
      <c r="J11" s="119">
        <v>2000</v>
      </c>
      <c r="K11" s="195">
        <f>I11/J11</f>
        <v>3.2017</v>
      </c>
      <c r="L11" s="119"/>
      <c r="N11" s="101"/>
      <c r="P11" s="101"/>
    </row>
    <row r="12" spans="1:16" ht="12.75">
      <c r="A12" s="67" t="s">
        <v>165</v>
      </c>
      <c r="B12" s="67"/>
      <c r="C12" s="120"/>
      <c r="D12" s="119">
        <f>('corn-cons'!F102+('corn-cons'!F102*0.36)+E12)/2</f>
        <v>197280</v>
      </c>
      <c r="E12" s="119">
        <f>('corn-cons'!F102-('corn-cons'!F102*0.36))/8</f>
        <v>21920</v>
      </c>
      <c r="F12" s="119">
        <f t="shared" si="4"/>
        <v>9864</v>
      </c>
      <c r="G12" s="119">
        <f t="shared" si="0"/>
        <v>986.4</v>
      </c>
      <c r="H12" s="119">
        <f t="shared" si="1"/>
        <v>1972.8</v>
      </c>
      <c r="I12" s="119">
        <f t="shared" si="2"/>
        <v>34743.200000000004</v>
      </c>
      <c r="J12" s="119">
        <v>2000</v>
      </c>
      <c r="K12" s="195">
        <f t="shared" si="3"/>
        <v>17.3716</v>
      </c>
      <c r="L12" s="119"/>
      <c r="N12" s="101"/>
      <c r="P12" s="101"/>
    </row>
    <row r="13" spans="1:16" ht="12.75">
      <c r="A13" s="67" t="s">
        <v>148</v>
      </c>
      <c r="B13" s="67"/>
      <c r="C13" s="120"/>
      <c r="D13" s="119">
        <f>('corn-cons'!F103+('corn-cons'!F103*0.36)+E13)/2</f>
        <v>191520</v>
      </c>
      <c r="E13" s="119">
        <f>('corn-cons'!F103-('corn-cons'!F103*0.36))/8</f>
        <v>21280</v>
      </c>
      <c r="F13" s="119">
        <f t="shared" si="4"/>
        <v>9576</v>
      </c>
      <c r="G13" s="119">
        <f>0.005*D13</f>
        <v>957.6</v>
      </c>
      <c r="H13" s="119">
        <f>0.01*D13</f>
        <v>1915.2</v>
      </c>
      <c r="I13" s="119">
        <f>SUM(E13:H13)</f>
        <v>33728.799999999996</v>
      </c>
      <c r="J13" s="119">
        <v>2000</v>
      </c>
      <c r="K13" s="195">
        <f>I13/J13</f>
        <v>16.864399999999996</v>
      </c>
      <c r="L13" s="119"/>
      <c r="N13" s="101"/>
      <c r="P13" s="101"/>
    </row>
    <row r="14" spans="1:16" ht="12.75">
      <c r="A14" s="92" t="s">
        <v>47</v>
      </c>
      <c r="B14" s="92"/>
      <c r="C14" s="92"/>
      <c r="D14" s="122">
        <f>('corn-cons'!F104+('corn-cons'!F104*0.36)+E14)/2</f>
        <v>21600</v>
      </c>
      <c r="E14" s="122">
        <f>('corn-cons'!F104-('corn-cons'!F104*0.36))/8</f>
        <v>2400</v>
      </c>
      <c r="F14" s="119">
        <f t="shared" si="4"/>
        <v>1080</v>
      </c>
      <c r="G14" s="122">
        <f t="shared" si="0"/>
        <v>108</v>
      </c>
      <c r="H14" s="122">
        <f t="shared" si="1"/>
        <v>216</v>
      </c>
      <c r="I14" s="122">
        <f t="shared" si="2"/>
        <v>3804</v>
      </c>
      <c r="J14" s="122">
        <v>2000</v>
      </c>
      <c r="K14" s="196">
        <f t="shared" si="3"/>
        <v>1.902</v>
      </c>
      <c r="L14" s="119"/>
      <c r="N14" s="101"/>
      <c r="P14" s="101"/>
    </row>
    <row r="15" spans="5:11" ht="12.75">
      <c r="E15" s="101">
        <f>SUM(E2:E14)</f>
        <v>132935</v>
      </c>
      <c r="F15" s="101">
        <f>SUM(F2:F14)</f>
        <v>57561.375</v>
      </c>
      <c r="G15" s="101">
        <f>SUM(G2:G14)</f>
        <v>5756.137500000001</v>
      </c>
      <c r="H15" s="101">
        <f>SUM(H2:H14)</f>
        <v>11512.275000000001</v>
      </c>
      <c r="I15" s="101">
        <f>SUM(I2:I14)</f>
        <v>207764.78749999998</v>
      </c>
      <c r="J15" s="101"/>
      <c r="K15" s="197">
        <f>SUM(K2:K14)</f>
        <v>123.56534843749999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3"/>
  <sheetViews>
    <sheetView showGridLines="0" zoomScalePageLayoutView="0" workbookViewId="0" topLeftCell="A1">
      <selection activeCell="A1" sqref="A1:I22"/>
    </sheetView>
  </sheetViews>
  <sheetFormatPr defaultColWidth="9.140625" defaultRowHeight="12.75"/>
  <cols>
    <col min="4" max="4" width="11.7109375" style="0" customWidth="1"/>
    <col min="6" max="6" width="6.421875" style="0" customWidth="1"/>
    <col min="7" max="7" width="15.28125" style="0" customWidth="1"/>
    <col min="8" max="8" width="10.28125" style="0" customWidth="1"/>
    <col min="9" max="9" width="15.140625" style="0" customWidth="1"/>
  </cols>
  <sheetData>
    <row r="1" spans="1:9" ht="12.75">
      <c r="A1" s="214" t="s">
        <v>171</v>
      </c>
      <c r="B1" s="215"/>
      <c r="C1" s="215"/>
      <c r="D1" s="215"/>
      <c r="E1" s="215"/>
      <c r="F1" s="215"/>
      <c r="G1" s="215"/>
      <c r="H1" s="215"/>
      <c r="I1" s="216"/>
    </row>
    <row r="2" spans="1:9" ht="13.5" thickBot="1">
      <c r="A2" s="217"/>
      <c r="B2" s="218"/>
      <c r="C2" s="218"/>
      <c r="D2" s="218"/>
      <c r="E2" s="218"/>
      <c r="F2" s="218"/>
      <c r="G2" s="218"/>
      <c r="H2" s="218"/>
      <c r="I2" s="219"/>
    </row>
    <row r="3" spans="1:9" ht="21" thickTop="1">
      <c r="A3" s="220" t="s">
        <v>115</v>
      </c>
      <c r="B3" s="220"/>
      <c r="C3" s="220"/>
      <c r="D3" s="220" t="s">
        <v>117</v>
      </c>
      <c r="E3" s="220"/>
      <c r="F3" s="220"/>
      <c r="G3" s="221" t="s">
        <v>119</v>
      </c>
      <c r="H3" s="221"/>
      <c r="I3" s="222"/>
    </row>
    <row r="4" spans="1:9" ht="20.25">
      <c r="A4" s="144" t="s">
        <v>120</v>
      </c>
      <c r="B4" s="145"/>
      <c r="C4" s="146"/>
      <c r="D4" s="146"/>
      <c r="E4" s="146"/>
      <c r="F4" s="146"/>
      <c r="G4" s="184">
        <f>'corn-cons'!$L$8</f>
        <v>160</v>
      </c>
      <c r="H4" s="185"/>
      <c r="I4" s="186">
        <f>'corn-cons'!$M$8</f>
        <v>192</v>
      </c>
    </row>
    <row r="5" spans="1:9" ht="20.25">
      <c r="A5" s="147" t="s">
        <v>116</v>
      </c>
      <c r="B5" s="147"/>
      <c r="C5" s="148"/>
      <c r="D5" s="149">
        <f>'corn-cons'!I10</f>
        <v>4.5</v>
      </c>
      <c r="E5" s="148" t="s">
        <v>118</v>
      </c>
      <c r="F5" s="150"/>
      <c r="G5" s="159">
        <f>'corn-cons'!$L$10</f>
        <v>720</v>
      </c>
      <c r="H5" s="159"/>
      <c r="I5" s="160">
        <f>'corn-cons'!$M$10</f>
        <v>864</v>
      </c>
    </row>
    <row r="6" spans="6:9" ht="7.5" customHeight="1">
      <c r="F6" s="157"/>
      <c r="G6" s="161"/>
      <c r="H6" s="161"/>
      <c r="I6" s="161"/>
    </row>
    <row r="7" spans="1:9" ht="20.25">
      <c r="A7" s="152" t="s">
        <v>121</v>
      </c>
      <c r="B7" s="156"/>
      <c r="C7" s="145"/>
      <c r="D7" s="151"/>
      <c r="E7" s="146"/>
      <c r="F7" s="146"/>
      <c r="G7" s="151"/>
      <c r="H7" s="151"/>
      <c r="I7" s="151"/>
    </row>
    <row r="8" spans="1:9" ht="20.25">
      <c r="A8" s="153" t="s">
        <v>122</v>
      </c>
      <c r="B8" s="153"/>
      <c r="C8" s="153"/>
      <c r="D8" s="154">
        <f>'corn-cons'!$I$17</f>
        <v>275</v>
      </c>
      <c r="E8" s="150" t="s">
        <v>90</v>
      </c>
      <c r="F8" s="150"/>
      <c r="G8" s="159">
        <f>'corn-cons'!$L$16</f>
        <v>110</v>
      </c>
      <c r="H8" s="159"/>
      <c r="I8" s="160">
        <f>'corn-cons'!$M$16</f>
        <v>116.875</v>
      </c>
    </row>
    <row r="9" spans="1:9" ht="23.25">
      <c r="A9" s="153" t="s">
        <v>130</v>
      </c>
      <c r="B9" s="153"/>
      <c r="C9" s="153"/>
      <c r="D9" s="155">
        <f>'corn-cons'!$F$69</f>
        <v>750</v>
      </c>
      <c r="E9" s="153" t="s">
        <v>12</v>
      </c>
      <c r="F9" s="153"/>
      <c r="G9" s="162">
        <f>'corn-cons'!$L$20</f>
        <v>80.17073170731707</v>
      </c>
      <c r="H9" s="162"/>
      <c r="I9" s="163">
        <f>'corn-cons'!$M$20</f>
        <v>93.89024390243902</v>
      </c>
    </row>
    <row r="10" spans="1:9" ht="23.25">
      <c r="A10" s="153" t="s">
        <v>131</v>
      </c>
      <c r="B10" s="153"/>
      <c r="C10" s="153"/>
      <c r="D10" s="155">
        <f>'corn-cons'!$I$69</f>
        <v>620</v>
      </c>
      <c r="E10" s="153" t="s">
        <v>12</v>
      </c>
      <c r="F10" s="153"/>
      <c r="G10" s="162">
        <f>'corn-cons'!$L$21</f>
        <v>35.292307692307695</v>
      </c>
      <c r="H10" s="162"/>
      <c r="I10" s="163">
        <f>'corn-cons'!$M$21</f>
        <v>42.350769230769224</v>
      </c>
    </row>
    <row r="11" spans="1:9" ht="23.25">
      <c r="A11" s="153" t="s">
        <v>132</v>
      </c>
      <c r="B11" s="153"/>
      <c r="C11" s="153"/>
      <c r="D11" s="155">
        <f>'corn-cons'!$M$69</f>
        <v>450</v>
      </c>
      <c r="E11" s="153" t="s">
        <v>12</v>
      </c>
      <c r="F11" s="153"/>
      <c r="G11" s="162">
        <f>'corn-cons'!$L$22</f>
        <v>16.200000000000003</v>
      </c>
      <c r="H11" s="162"/>
      <c r="I11" s="163">
        <f>'corn-cons'!$M$22</f>
        <v>19.44</v>
      </c>
    </row>
    <row r="12" spans="1:9" ht="20.25">
      <c r="A12" s="153" t="s">
        <v>123</v>
      </c>
      <c r="B12" s="153"/>
      <c r="C12" s="153"/>
      <c r="D12" s="153"/>
      <c r="E12" s="153"/>
      <c r="F12" s="153"/>
      <c r="G12" s="162">
        <f>SUM('corn-cons'!$L$24:$L$26)</f>
        <v>55.93</v>
      </c>
      <c r="H12" s="162"/>
      <c r="I12" s="163">
        <f>SUM('corn-cons'!$N$24:$N$26)</f>
        <v>55.93</v>
      </c>
    </row>
    <row r="13" spans="1:9" ht="20.25">
      <c r="A13" s="147" t="s">
        <v>126</v>
      </c>
      <c r="B13" s="147"/>
      <c r="C13" s="147"/>
      <c r="D13" s="200">
        <f>'corn-cons'!$M$108</f>
        <v>3.5</v>
      </c>
      <c r="E13" s="147" t="s">
        <v>127</v>
      </c>
      <c r="F13" s="147"/>
      <c r="G13" s="164"/>
      <c r="H13" s="164"/>
      <c r="I13" s="165"/>
    </row>
    <row r="14" spans="3:9" ht="20.25" customHeight="1">
      <c r="C14" s="187" t="s">
        <v>153</v>
      </c>
      <c r="G14" s="164">
        <f>('corn-cons'!$L$36)/G4</f>
        <v>2.6889211626586595</v>
      </c>
      <c r="H14" s="43"/>
      <c r="I14" s="164">
        <f>('corn-cons'!$M$36)/I4</f>
        <v>2.4444969689321603</v>
      </c>
    </row>
    <row r="15" spans="1:9" ht="20.25">
      <c r="A15" s="152" t="s">
        <v>124</v>
      </c>
      <c r="B15" s="145"/>
      <c r="C15" s="146"/>
      <c r="D15" s="146"/>
      <c r="E15" s="146"/>
      <c r="F15" s="166"/>
      <c r="G15" s="167"/>
      <c r="H15" s="167"/>
      <c r="I15" s="167"/>
    </row>
    <row r="16" spans="1:9" ht="20.25">
      <c r="A16" s="172" t="s">
        <v>133</v>
      </c>
      <c r="B16" s="172"/>
      <c r="C16" s="172"/>
      <c r="D16" s="172"/>
      <c r="E16" s="172"/>
      <c r="F16" s="172"/>
      <c r="G16" s="159">
        <f>'corn-cons'!$L$40+'corn-cons'!L$41</f>
        <v>81</v>
      </c>
      <c r="H16" s="173"/>
      <c r="I16" s="160">
        <f>'corn-cons'!$M$40+'corn-cons'!$M$41</f>
        <v>88.2</v>
      </c>
    </row>
    <row r="17" spans="1:9" ht="20.25">
      <c r="A17" s="199" t="s">
        <v>55</v>
      </c>
      <c r="B17" s="199"/>
      <c r="C17" s="199"/>
      <c r="D17" s="199"/>
      <c r="E17" s="199"/>
      <c r="F17" s="199"/>
      <c r="G17" s="162">
        <f>'corn-cons'!$L$42</f>
        <v>123.56534843749999</v>
      </c>
      <c r="H17" s="162"/>
      <c r="I17" s="163">
        <f>'corn-cons'!$M$42</f>
        <v>123.56534843749999</v>
      </c>
    </row>
    <row r="18" spans="1:9" ht="20.25">
      <c r="A18" s="198" t="s">
        <v>125</v>
      </c>
      <c r="B18" s="198"/>
      <c r="C18" s="198"/>
      <c r="D18" s="198"/>
      <c r="E18" s="198"/>
      <c r="F18" s="198"/>
      <c r="G18" s="164">
        <f>'corn-cons'!$L$43</f>
        <v>195</v>
      </c>
      <c r="H18" s="164"/>
      <c r="I18" s="165">
        <f>'corn-cons'!$M$43</f>
        <v>250</v>
      </c>
    </row>
    <row r="19" spans="3:9" ht="21" customHeight="1">
      <c r="C19" s="187" t="s">
        <v>153</v>
      </c>
      <c r="G19" s="162">
        <f>'corn-cons'!$L$48</f>
        <v>5.186204590393034</v>
      </c>
      <c r="H19" s="43"/>
      <c r="I19" s="162">
        <f>'corn-cons'!$M$48</f>
        <v>4.849524825377473</v>
      </c>
    </row>
    <row r="20" spans="1:9" ht="20.25">
      <c r="A20" s="152" t="s">
        <v>128</v>
      </c>
      <c r="B20" s="145"/>
      <c r="C20" s="146"/>
      <c r="D20" s="146"/>
      <c r="E20" s="146"/>
      <c r="F20" s="146"/>
      <c r="G20" s="151"/>
      <c r="H20" s="151"/>
      <c r="I20" s="151"/>
    </row>
    <row r="21" spans="1:9" ht="20.25">
      <c r="A21" s="183" t="s">
        <v>161</v>
      </c>
      <c r="B21" s="183"/>
      <c r="C21" s="183"/>
      <c r="D21" s="183"/>
      <c r="E21" s="183"/>
      <c r="F21" s="183"/>
      <c r="G21" s="159">
        <f>'corn-cons'!$L$52</f>
        <v>-109.7927344628855</v>
      </c>
      <c r="H21" s="159"/>
      <c r="I21" s="160">
        <f>'corn-cons'!$M$52</f>
        <v>-67.10876647247483</v>
      </c>
    </row>
    <row r="22" spans="1:9" ht="20.25">
      <c r="A22" s="147" t="s">
        <v>129</v>
      </c>
      <c r="B22" s="147"/>
      <c r="C22" s="147"/>
      <c r="D22" s="147"/>
      <c r="E22" s="147"/>
      <c r="F22" s="153"/>
      <c r="G22" s="162">
        <f>'corn-cons'!$L$53</f>
        <v>85.2072655371145</v>
      </c>
      <c r="H22" s="162"/>
      <c r="I22" s="163">
        <f>'corn-cons'!$M$53</f>
        <v>182.89123352752517</v>
      </c>
    </row>
    <row r="23" spans="1:9" ht="15">
      <c r="A23" s="142"/>
      <c r="B23" s="142"/>
      <c r="C23" s="142"/>
      <c r="D23" s="142"/>
      <c r="E23" s="142"/>
      <c r="F23" s="158"/>
      <c r="G23" s="158"/>
      <c r="H23" s="158"/>
      <c r="I23" s="158"/>
    </row>
    <row r="24" spans="1:9" ht="15">
      <c r="A24" s="142"/>
      <c r="B24" s="142"/>
      <c r="C24" s="142"/>
      <c r="D24" s="142"/>
      <c r="E24" s="142"/>
      <c r="F24" s="142"/>
      <c r="G24" s="142"/>
      <c r="H24" s="142"/>
      <c r="I24" s="142"/>
    </row>
    <row r="25" spans="1:9" ht="15">
      <c r="A25" s="142"/>
      <c r="B25" s="142"/>
      <c r="C25" s="142"/>
      <c r="D25" s="142"/>
      <c r="E25" s="142"/>
      <c r="F25" s="142"/>
      <c r="G25" s="142"/>
      <c r="H25" s="142"/>
      <c r="I25" s="142"/>
    </row>
    <row r="26" spans="1:9" ht="15">
      <c r="A26" s="142"/>
      <c r="B26" s="142"/>
      <c r="C26" s="142"/>
      <c r="D26" s="142"/>
      <c r="E26" s="142"/>
      <c r="F26" s="142"/>
      <c r="G26" s="142"/>
      <c r="H26" s="142"/>
      <c r="I26" s="142"/>
    </row>
    <row r="27" spans="1:9" ht="15">
      <c r="A27" s="142"/>
      <c r="B27" s="142"/>
      <c r="C27" s="142"/>
      <c r="D27" s="142"/>
      <c r="E27" s="142"/>
      <c r="F27" s="142"/>
      <c r="G27" s="142"/>
      <c r="H27" s="142"/>
      <c r="I27" s="142"/>
    </row>
    <row r="28" spans="1:9" ht="15">
      <c r="A28" s="142"/>
      <c r="B28" s="142"/>
      <c r="C28" s="142"/>
      <c r="D28" s="142"/>
      <c r="E28" s="142"/>
      <c r="F28" s="142"/>
      <c r="G28" s="142"/>
      <c r="H28" s="142"/>
      <c r="I28" s="142"/>
    </row>
    <row r="29" spans="1:9" ht="15">
      <c r="A29" s="142"/>
      <c r="B29" s="142"/>
      <c r="C29" s="142"/>
      <c r="D29" s="142"/>
      <c r="E29" s="142"/>
      <c r="F29" s="142"/>
      <c r="G29" s="142"/>
      <c r="H29" s="142"/>
      <c r="I29" s="142"/>
    </row>
    <row r="30" spans="1:9" ht="15">
      <c r="A30" s="142"/>
      <c r="B30" s="142"/>
      <c r="C30" s="142"/>
      <c r="D30" s="142"/>
      <c r="E30" s="142"/>
      <c r="F30" s="142"/>
      <c r="G30" s="142"/>
      <c r="H30" s="142"/>
      <c r="I30" s="142"/>
    </row>
    <row r="31" spans="1:9" ht="15">
      <c r="A31" s="142"/>
      <c r="B31" s="142"/>
      <c r="C31" s="142"/>
      <c r="D31" s="142"/>
      <c r="E31" s="142"/>
      <c r="F31" s="142"/>
      <c r="G31" s="142"/>
      <c r="H31" s="142"/>
      <c r="I31" s="142"/>
    </row>
    <row r="32" spans="1:9" ht="15">
      <c r="A32" s="142"/>
      <c r="B32" s="142"/>
      <c r="C32" s="142"/>
      <c r="D32" s="142"/>
      <c r="E32" s="142"/>
      <c r="F32" s="142"/>
      <c r="G32" s="142"/>
      <c r="H32" s="142"/>
      <c r="I32" s="142"/>
    </row>
    <row r="33" spans="1:9" ht="15">
      <c r="A33" s="142"/>
      <c r="B33" s="142"/>
      <c r="C33" s="142"/>
      <c r="D33" s="142"/>
      <c r="E33" s="142"/>
      <c r="F33" s="142"/>
      <c r="G33" s="142"/>
      <c r="H33" s="142"/>
      <c r="I33" s="142"/>
    </row>
    <row r="34" spans="1:9" ht="15">
      <c r="A34" s="142"/>
      <c r="B34" s="142"/>
      <c r="C34" s="142"/>
      <c r="D34" s="142"/>
      <c r="E34" s="142"/>
      <c r="F34" s="142"/>
      <c r="G34" s="142"/>
      <c r="H34" s="142"/>
      <c r="I34" s="142"/>
    </row>
    <row r="35" spans="1:9" ht="15">
      <c r="A35" s="142"/>
      <c r="B35" s="142"/>
      <c r="C35" s="142"/>
      <c r="D35" s="142"/>
      <c r="E35" s="142"/>
      <c r="F35" s="142"/>
      <c r="G35" s="142"/>
      <c r="H35" s="142"/>
      <c r="I35" s="142"/>
    </row>
    <row r="36" spans="1:9" ht="15">
      <c r="A36" s="142"/>
      <c r="B36" s="142"/>
      <c r="C36" s="142"/>
      <c r="D36" s="142"/>
      <c r="E36" s="142"/>
      <c r="F36" s="142"/>
      <c r="G36" s="142"/>
      <c r="H36" s="142"/>
      <c r="I36" s="142"/>
    </row>
    <row r="37" spans="1:9" ht="15">
      <c r="A37" s="142"/>
      <c r="B37" s="142"/>
      <c r="C37" s="142"/>
      <c r="D37" s="142"/>
      <c r="E37" s="142"/>
      <c r="F37" s="142"/>
      <c r="G37" s="142"/>
      <c r="H37" s="142"/>
      <c r="I37" s="142"/>
    </row>
    <row r="38" spans="1:9" ht="15">
      <c r="A38" s="142"/>
      <c r="B38" s="142"/>
      <c r="C38" s="142"/>
      <c r="D38" s="142"/>
      <c r="E38" s="142"/>
      <c r="F38" s="142"/>
      <c r="G38" s="142"/>
      <c r="H38" s="142"/>
      <c r="I38" s="142"/>
    </row>
    <row r="39" spans="1:9" ht="15">
      <c r="A39" s="142"/>
      <c r="B39" s="142"/>
      <c r="C39" s="142"/>
      <c r="D39" s="142"/>
      <c r="E39" s="142"/>
      <c r="F39" s="142"/>
      <c r="G39" s="142"/>
      <c r="H39" s="142"/>
      <c r="I39" s="142"/>
    </row>
    <row r="40" spans="1:9" ht="15">
      <c r="A40" s="142"/>
      <c r="B40" s="142"/>
      <c r="C40" s="142"/>
      <c r="D40" s="142"/>
      <c r="E40" s="142"/>
      <c r="F40" s="142"/>
      <c r="G40" s="142"/>
      <c r="H40" s="142"/>
      <c r="I40" s="142"/>
    </row>
    <row r="41" spans="1:9" ht="15">
      <c r="A41" s="142"/>
      <c r="B41" s="142"/>
      <c r="C41" s="142"/>
      <c r="D41" s="142"/>
      <c r="E41" s="142"/>
      <c r="F41" s="142"/>
      <c r="G41" s="142"/>
      <c r="H41" s="142"/>
      <c r="I41" s="142"/>
    </row>
    <row r="42" spans="1:9" ht="15">
      <c r="A42" s="142"/>
      <c r="B42" s="142"/>
      <c r="C42" s="142"/>
      <c r="D42" s="142"/>
      <c r="E42" s="142"/>
      <c r="F42" s="142"/>
      <c r="G42" s="142"/>
      <c r="H42" s="142"/>
      <c r="I42" s="142"/>
    </row>
    <row r="43" spans="1:9" ht="15">
      <c r="A43" s="142"/>
      <c r="B43" s="142"/>
      <c r="C43" s="142"/>
      <c r="D43" s="142"/>
      <c r="E43" s="142"/>
      <c r="F43" s="142"/>
      <c r="G43" s="142"/>
      <c r="H43" s="142"/>
      <c r="I43" s="142"/>
    </row>
    <row r="44" spans="1:9" ht="15">
      <c r="A44" s="142"/>
      <c r="B44" s="142"/>
      <c r="C44" s="142"/>
      <c r="D44" s="142"/>
      <c r="E44" s="142"/>
      <c r="F44" s="142"/>
      <c r="G44" s="142"/>
      <c r="H44" s="142"/>
      <c r="I44" s="142"/>
    </row>
    <row r="45" spans="1:9" ht="15">
      <c r="A45" s="142"/>
      <c r="B45" s="142"/>
      <c r="C45" s="142"/>
      <c r="D45" s="142"/>
      <c r="E45" s="142"/>
      <c r="F45" s="142"/>
      <c r="G45" s="142"/>
      <c r="H45" s="142"/>
      <c r="I45" s="142"/>
    </row>
    <row r="46" spans="1:9" ht="15">
      <c r="A46" s="142"/>
      <c r="B46" s="142"/>
      <c r="C46" s="142"/>
      <c r="D46" s="142"/>
      <c r="E46" s="142"/>
      <c r="F46" s="142"/>
      <c r="G46" s="142"/>
      <c r="H46" s="142"/>
      <c r="I46" s="142"/>
    </row>
    <row r="47" spans="1:9" ht="15">
      <c r="A47" s="142"/>
      <c r="B47" s="142"/>
      <c r="C47" s="142"/>
      <c r="D47" s="142"/>
      <c r="E47" s="142"/>
      <c r="F47" s="142"/>
      <c r="G47" s="142"/>
      <c r="H47" s="142"/>
      <c r="I47" s="142"/>
    </row>
    <row r="48" spans="1:9" ht="15">
      <c r="A48" s="142"/>
      <c r="B48" s="142"/>
      <c r="C48" s="142"/>
      <c r="D48" s="142"/>
      <c r="E48" s="142"/>
      <c r="F48" s="142"/>
      <c r="G48" s="142"/>
      <c r="H48" s="142"/>
      <c r="I48" s="142"/>
    </row>
    <row r="49" spans="1:9" ht="15">
      <c r="A49" s="142"/>
      <c r="B49" s="142"/>
      <c r="C49" s="142"/>
      <c r="D49" s="142"/>
      <c r="E49" s="142"/>
      <c r="F49" s="142"/>
      <c r="G49" s="142"/>
      <c r="H49" s="142"/>
      <c r="I49" s="142"/>
    </row>
    <row r="50" spans="1:9" ht="15">
      <c r="A50" s="142"/>
      <c r="B50" s="142"/>
      <c r="C50" s="142"/>
      <c r="D50" s="142"/>
      <c r="E50" s="142"/>
      <c r="F50" s="142"/>
      <c r="G50" s="142"/>
      <c r="H50" s="142"/>
      <c r="I50" s="142"/>
    </row>
    <row r="51" spans="1:9" ht="15">
      <c r="A51" s="142"/>
      <c r="B51" s="142"/>
      <c r="C51" s="142"/>
      <c r="D51" s="142"/>
      <c r="E51" s="142"/>
      <c r="F51" s="142"/>
      <c r="G51" s="142"/>
      <c r="H51" s="142"/>
      <c r="I51" s="142"/>
    </row>
    <row r="52" spans="1:9" ht="15">
      <c r="A52" s="142"/>
      <c r="B52" s="142"/>
      <c r="C52" s="142"/>
      <c r="D52" s="142"/>
      <c r="E52" s="142"/>
      <c r="F52" s="142"/>
      <c r="G52" s="142"/>
      <c r="H52" s="142"/>
      <c r="I52" s="142"/>
    </row>
    <row r="53" spans="1:9" ht="15">
      <c r="A53" s="142"/>
      <c r="B53" s="142"/>
      <c r="C53" s="142"/>
      <c r="D53" s="142"/>
      <c r="E53" s="142"/>
      <c r="F53" s="142"/>
      <c r="G53" s="142"/>
      <c r="H53" s="142"/>
      <c r="I53" s="142"/>
    </row>
    <row r="54" spans="1:9" ht="15">
      <c r="A54" s="142"/>
      <c r="B54" s="142"/>
      <c r="C54" s="142"/>
      <c r="D54" s="142"/>
      <c r="E54" s="142"/>
      <c r="F54" s="142"/>
      <c r="G54" s="142"/>
      <c r="H54" s="142"/>
      <c r="I54" s="142"/>
    </row>
    <row r="55" spans="1:9" ht="15">
      <c r="A55" s="142"/>
      <c r="B55" s="142"/>
      <c r="C55" s="142"/>
      <c r="D55" s="142"/>
      <c r="E55" s="142"/>
      <c r="F55" s="142"/>
      <c r="G55" s="142"/>
      <c r="H55" s="142"/>
      <c r="I55" s="142"/>
    </row>
    <row r="56" spans="1:9" ht="15">
      <c r="A56" s="142"/>
      <c r="B56" s="142"/>
      <c r="C56" s="142"/>
      <c r="D56" s="142"/>
      <c r="E56" s="142"/>
      <c r="F56" s="142"/>
      <c r="G56" s="142"/>
      <c r="H56" s="142"/>
      <c r="I56" s="142"/>
    </row>
    <row r="57" spans="1:9" ht="15">
      <c r="A57" s="142"/>
      <c r="B57" s="142"/>
      <c r="C57" s="142"/>
      <c r="D57" s="142"/>
      <c r="E57" s="142"/>
      <c r="F57" s="142"/>
      <c r="G57" s="142"/>
      <c r="H57" s="142"/>
      <c r="I57" s="142"/>
    </row>
    <row r="58" spans="1:9" ht="15">
      <c r="A58" s="142"/>
      <c r="B58" s="142"/>
      <c r="C58" s="142"/>
      <c r="D58" s="142"/>
      <c r="E58" s="142"/>
      <c r="F58" s="142"/>
      <c r="G58" s="142"/>
      <c r="H58" s="142"/>
      <c r="I58" s="142"/>
    </row>
    <row r="59" spans="1:9" ht="15">
      <c r="A59" s="142"/>
      <c r="B59" s="142"/>
      <c r="C59" s="142"/>
      <c r="D59" s="142"/>
      <c r="E59" s="142"/>
      <c r="F59" s="142"/>
      <c r="G59" s="142"/>
      <c r="H59" s="142"/>
      <c r="I59" s="142"/>
    </row>
    <row r="60" spans="1:9" ht="15">
      <c r="A60" s="142"/>
      <c r="B60" s="142"/>
      <c r="C60" s="142"/>
      <c r="D60" s="142"/>
      <c r="E60" s="142"/>
      <c r="F60" s="142"/>
      <c r="G60" s="142"/>
      <c r="H60" s="142"/>
      <c r="I60" s="142"/>
    </row>
    <row r="61" spans="1:9" ht="15">
      <c r="A61" s="142"/>
      <c r="B61" s="142"/>
      <c r="C61" s="142"/>
      <c r="D61" s="142"/>
      <c r="E61" s="142"/>
      <c r="F61" s="142"/>
      <c r="G61" s="142"/>
      <c r="H61" s="142"/>
      <c r="I61" s="142"/>
    </row>
    <row r="62" spans="1:9" ht="15">
      <c r="A62" s="142"/>
      <c r="B62" s="142"/>
      <c r="C62" s="142"/>
      <c r="D62" s="142"/>
      <c r="E62" s="142"/>
      <c r="F62" s="142"/>
      <c r="G62" s="142"/>
      <c r="H62" s="142"/>
      <c r="I62" s="142"/>
    </row>
    <row r="63" spans="1:9" ht="15">
      <c r="A63" s="142"/>
      <c r="B63" s="142"/>
      <c r="C63" s="142"/>
      <c r="D63" s="142"/>
      <c r="E63" s="142"/>
      <c r="F63" s="142"/>
      <c r="G63" s="142"/>
      <c r="H63" s="142"/>
      <c r="I63" s="142"/>
    </row>
    <row r="64" spans="1:9" ht="15">
      <c r="A64" s="142"/>
      <c r="B64" s="142"/>
      <c r="C64" s="142"/>
      <c r="D64" s="142"/>
      <c r="E64" s="142"/>
      <c r="F64" s="142"/>
      <c r="G64" s="142"/>
      <c r="H64" s="142"/>
      <c r="I64" s="142"/>
    </row>
    <row r="65" spans="1:9" ht="15">
      <c r="A65" s="142"/>
      <c r="B65" s="142"/>
      <c r="C65" s="142"/>
      <c r="D65" s="142"/>
      <c r="E65" s="142"/>
      <c r="F65" s="142"/>
      <c r="G65" s="142"/>
      <c r="H65" s="142"/>
      <c r="I65" s="142"/>
    </row>
    <row r="66" spans="1:9" ht="15">
      <c r="A66" s="142"/>
      <c r="B66" s="142"/>
      <c r="C66" s="142"/>
      <c r="D66" s="142"/>
      <c r="E66" s="142"/>
      <c r="F66" s="142"/>
      <c r="G66" s="142"/>
      <c r="H66" s="142"/>
      <c r="I66" s="142"/>
    </row>
    <row r="67" spans="1:9" ht="15">
      <c r="A67" s="142"/>
      <c r="B67" s="142"/>
      <c r="C67" s="142"/>
      <c r="D67" s="142"/>
      <c r="E67" s="142"/>
      <c r="F67" s="142"/>
      <c r="G67" s="142"/>
      <c r="H67" s="142"/>
      <c r="I67" s="142"/>
    </row>
    <row r="68" spans="1:9" ht="15">
      <c r="A68" s="142"/>
      <c r="B68" s="142"/>
      <c r="C68" s="142"/>
      <c r="D68" s="142"/>
      <c r="E68" s="142"/>
      <c r="F68" s="142"/>
      <c r="G68" s="142"/>
      <c r="H68" s="142"/>
      <c r="I68" s="142"/>
    </row>
    <row r="69" spans="1:9" ht="15">
      <c r="A69" s="142"/>
      <c r="B69" s="142"/>
      <c r="C69" s="142"/>
      <c r="D69" s="142"/>
      <c r="E69" s="142"/>
      <c r="F69" s="142"/>
      <c r="G69" s="142"/>
      <c r="H69" s="142"/>
      <c r="I69" s="142"/>
    </row>
    <row r="70" spans="1:9" ht="15">
      <c r="A70" s="142"/>
      <c r="B70" s="142"/>
      <c r="C70" s="142"/>
      <c r="D70" s="142"/>
      <c r="E70" s="142"/>
      <c r="F70" s="142"/>
      <c r="G70" s="142"/>
      <c r="H70" s="142"/>
      <c r="I70" s="142"/>
    </row>
    <row r="71" spans="1:9" ht="15">
      <c r="A71" s="142"/>
      <c r="B71" s="142"/>
      <c r="C71" s="142"/>
      <c r="D71" s="142"/>
      <c r="E71" s="142"/>
      <c r="F71" s="142"/>
      <c r="G71" s="142"/>
      <c r="H71" s="142"/>
      <c r="I71" s="142"/>
    </row>
    <row r="72" spans="1:9" ht="15">
      <c r="A72" s="142"/>
      <c r="B72" s="142"/>
      <c r="C72" s="142"/>
      <c r="D72" s="142"/>
      <c r="E72" s="142"/>
      <c r="F72" s="142"/>
      <c r="G72" s="142"/>
      <c r="H72" s="142"/>
      <c r="I72" s="142"/>
    </row>
    <row r="73" spans="1:9" ht="15">
      <c r="A73" s="142"/>
      <c r="B73" s="142"/>
      <c r="C73" s="142"/>
      <c r="D73" s="142"/>
      <c r="E73" s="142"/>
      <c r="F73" s="142"/>
      <c r="G73" s="142"/>
      <c r="H73" s="142"/>
      <c r="I73" s="142"/>
    </row>
    <row r="74" spans="1:9" ht="15">
      <c r="A74" s="142"/>
      <c r="B74" s="142"/>
      <c r="C74" s="142"/>
      <c r="D74" s="142"/>
      <c r="E74" s="142"/>
      <c r="F74" s="142"/>
      <c r="G74" s="142"/>
      <c r="H74" s="142"/>
      <c r="I74" s="142"/>
    </row>
    <row r="75" spans="1:9" ht="15">
      <c r="A75" s="142"/>
      <c r="B75" s="142"/>
      <c r="C75" s="142"/>
      <c r="D75" s="142"/>
      <c r="E75" s="142"/>
      <c r="F75" s="142"/>
      <c r="G75" s="142"/>
      <c r="H75" s="142"/>
      <c r="I75" s="142"/>
    </row>
    <row r="76" spans="1:9" ht="15">
      <c r="A76" s="142"/>
      <c r="B76" s="142"/>
      <c r="C76" s="142"/>
      <c r="D76" s="142"/>
      <c r="E76" s="142"/>
      <c r="F76" s="142"/>
      <c r="G76" s="142"/>
      <c r="H76" s="142"/>
      <c r="I76" s="142"/>
    </row>
    <row r="77" spans="1:9" ht="15">
      <c r="A77" s="142"/>
      <c r="B77" s="142"/>
      <c r="C77" s="142"/>
      <c r="D77" s="142"/>
      <c r="E77" s="142"/>
      <c r="F77" s="142"/>
      <c r="G77" s="142"/>
      <c r="H77" s="142"/>
      <c r="I77" s="142"/>
    </row>
    <row r="78" spans="1:9" ht="15">
      <c r="A78" s="142"/>
      <c r="B78" s="142"/>
      <c r="C78" s="142"/>
      <c r="D78" s="142"/>
      <c r="E78" s="142"/>
      <c r="F78" s="142"/>
      <c r="G78" s="142"/>
      <c r="H78" s="142"/>
      <c r="I78" s="142"/>
    </row>
    <row r="79" spans="1:9" ht="15">
      <c r="A79" s="142"/>
      <c r="B79" s="142"/>
      <c r="C79" s="142"/>
      <c r="D79" s="142"/>
      <c r="E79" s="142"/>
      <c r="F79" s="142"/>
      <c r="G79" s="142"/>
      <c r="H79" s="142"/>
      <c r="I79" s="142"/>
    </row>
    <row r="80" spans="1:9" ht="15">
      <c r="A80" s="142"/>
      <c r="B80" s="142"/>
      <c r="C80" s="142"/>
      <c r="D80" s="142"/>
      <c r="E80" s="142"/>
      <c r="F80" s="142"/>
      <c r="G80" s="142"/>
      <c r="H80" s="142"/>
      <c r="I80" s="142"/>
    </row>
    <row r="81" spans="1:9" ht="15">
      <c r="A81" s="142"/>
      <c r="B81" s="142"/>
      <c r="C81" s="142"/>
      <c r="D81" s="142"/>
      <c r="E81" s="142"/>
      <c r="F81" s="142"/>
      <c r="G81" s="142"/>
      <c r="H81" s="142"/>
      <c r="I81" s="142"/>
    </row>
    <row r="82" spans="1:9" ht="15">
      <c r="A82" s="142"/>
      <c r="B82" s="142"/>
      <c r="C82" s="142"/>
      <c r="D82" s="142"/>
      <c r="E82" s="142"/>
      <c r="F82" s="142"/>
      <c r="G82" s="142"/>
      <c r="H82" s="142"/>
      <c r="I82" s="142"/>
    </row>
    <row r="83" spans="1:9" ht="15">
      <c r="A83" s="142"/>
      <c r="B83" s="142"/>
      <c r="C83" s="142"/>
      <c r="D83" s="142"/>
      <c r="E83" s="142"/>
      <c r="F83" s="142"/>
      <c r="G83" s="142"/>
      <c r="H83" s="142"/>
      <c r="I83" s="142"/>
    </row>
    <row r="84" spans="1:9" ht="15">
      <c r="A84" s="142"/>
      <c r="B84" s="142"/>
      <c r="C84" s="142"/>
      <c r="D84" s="142"/>
      <c r="E84" s="142"/>
      <c r="F84" s="142"/>
      <c r="G84" s="142"/>
      <c r="H84" s="142"/>
      <c r="I84" s="142"/>
    </row>
    <row r="85" spans="1:9" ht="15">
      <c r="A85" s="142"/>
      <c r="B85" s="142"/>
      <c r="C85" s="142"/>
      <c r="D85" s="142"/>
      <c r="E85" s="142"/>
      <c r="F85" s="142"/>
      <c r="G85" s="142"/>
      <c r="H85" s="142"/>
      <c r="I85" s="142"/>
    </row>
    <row r="86" spans="1:9" ht="15">
      <c r="A86" s="142"/>
      <c r="B86" s="142"/>
      <c r="C86" s="142"/>
      <c r="D86" s="142"/>
      <c r="E86" s="142"/>
      <c r="F86" s="142"/>
      <c r="G86" s="142"/>
      <c r="H86" s="142"/>
      <c r="I86" s="142"/>
    </row>
    <row r="87" spans="1:9" ht="15">
      <c r="A87" s="142"/>
      <c r="B87" s="142"/>
      <c r="C87" s="142"/>
      <c r="D87" s="142"/>
      <c r="E87" s="142"/>
      <c r="F87" s="142"/>
      <c r="G87" s="142"/>
      <c r="H87" s="142"/>
      <c r="I87" s="142"/>
    </row>
    <row r="88" spans="1:9" ht="15">
      <c r="A88" s="142"/>
      <c r="B88" s="142"/>
      <c r="C88" s="142"/>
      <c r="D88" s="142"/>
      <c r="E88" s="142"/>
      <c r="F88" s="142"/>
      <c r="G88" s="142"/>
      <c r="H88" s="142"/>
      <c r="I88" s="142"/>
    </row>
    <row r="89" spans="1:9" ht="15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9" ht="15">
      <c r="A90" s="142"/>
      <c r="B90" s="142"/>
      <c r="C90" s="142"/>
      <c r="D90" s="142"/>
      <c r="E90" s="142"/>
      <c r="F90" s="142"/>
      <c r="G90" s="142"/>
      <c r="H90" s="142"/>
      <c r="I90" s="142"/>
    </row>
    <row r="91" spans="1:9" ht="15">
      <c r="A91" s="142"/>
      <c r="B91" s="142"/>
      <c r="C91" s="142"/>
      <c r="D91" s="142"/>
      <c r="E91" s="142"/>
      <c r="F91" s="142"/>
      <c r="G91" s="142"/>
      <c r="H91" s="142"/>
      <c r="I91" s="142"/>
    </row>
    <row r="92" spans="1:9" ht="15">
      <c r="A92" s="142"/>
      <c r="B92" s="142"/>
      <c r="C92" s="142"/>
      <c r="D92" s="142"/>
      <c r="E92" s="142"/>
      <c r="F92" s="142"/>
      <c r="G92" s="142"/>
      <c r="H92" s="142"/>
      <c r="I92" s="142"/>
    </row>
    <row r="93" spans="1:9" ht="15">
      <c r="A93" s="142"/>
      <c r="B93" s="142"/>
      <c r="C93" s="142"/>
      <c r="D93" s="142"/>
      <c r="E93" s="142"/>
      <c r="F93" s="142"/>
      <c r="G93" s="142"/>
      <c r="H93" s="142"/>
      <c r="I93" s="142"/>
    </row>
    <row r="94" spans="1:9" ht="15">
      <c r="A94" s="142"/>
      <c r="B94" s="142"/>
      <c r="C94" s="142"/>
      <c r="D94" s="142"/>
      <c r="E94" s="142"/>
      <c r="F94" s="142"/>
      <c r="G94" s="142"/>
      <c r="H94" s="142"/>
      <c r="I94" s="142"/>
    </row>
    <row r="95" spans="1:9" ht="15">
      <c r="A95" s="142"/>
      <c r="B95" s="142"/>
      <c r="C95" s="142"/>
      <c r="D95" s="142"/>
      <c r="E95" s="142"/>
      <c r="F95" s="142"/>
      <c r="G95" s="142"/>
      <c r="H95" s="142"/>
      <c r="I95" s="142"/>
    </row>
    <row r="96" spans="1:9" ht="15">
      <c r="A96" s="142"/>
      <c r="B96" s="142"/>
      <c r="C96" s="142"/>
      <c r="D96" s="142"/>
      <c r="E96" s="142"/>
      <c r="F96" s="142"/>
      <c r="G96" s="142"/>
      <c r="H96" s="142"/>
      <c r="I96" s="142"/>
    </row>
    <row r="97" spans="1:9" ht="15">
      <c r="A97" s="142"/>
      <c r="B97" s="142"/>
      <c r="C97" s="142"/>
      <c r="D97" s="142"/>
      <c r="E97" s="142"/>
      <c r="F97" s="142"/>
      <c r="G97" s="142"/>
      <c r="H97" s="142"/>
      <c r="I97" s="142"/>
    </row>
    <row r="98" spans="1:9" ht="15">
      <c r="A98" s="142"/>
      <c r="B98" s="142"/>
      <c r="C98" s="142"/>
      <c r="D98" s="142"/>
      <c r="E98" s="142"/>
      <c r="F98" s="142"/>
      <c r="G98" s="142"/>
      <c r="H98" s="142"/>
      <c r="I98" s="142"/>
    </row>
    <row r="99" spans="1:9" ht="15">
      <c r="A99" s="142"/>
      <c r="B99" s="142"/>
      <c r="C99" s="142"/>
      <c r="D99" s="142"/>
      <c r="E99" s="142"/>
      <c r="F99" s="142"/>
      <c r="G99" s="142"/>
      <c r="H99" s="142"/>
      <c r="I99" s="142"/>
    </row>
    <row r="100" spans="1:9" ht="15">
      <c r="A100" s="142"/>
      <c r="B100" s="142"/>
      <c r="C100" s="142"/>
      <c r="D100" s="142"/>
      <c r="E100" s="142"/>
      <c r="F100" s="142"/>
      <c r="G100" s="142"/>
      <c r="H100" s="142"/>
      <c r="I100" s="142"/>
    </row>
    <row r="101" spans="1:9" ht="15">
      <c r="A101" s="142"/>
      <c r="B101" s="142"/>
      <c r="C101" s="142"/>
      <c r="D101" s="142"/>
      <c r="E101" s="142"/>
      <c r="F101" s="142"/>
      <c r="G101" s="142"/>
      <c r="H101" s="142"/>
      <c r="I101" s="142"/>
    </row>
    <row r="102" spans="1:9" ht="15">
      <c r="A102" s="142"/>
      <c r="B102" s="142"/>
      <c r="C102" s="142"/>
      <c r="D102" s="142"/>
      <c r="E102" s="142"/>
      <c r="F102" s="142"/>
      <c r="G102" s="142"/>
      <c r="H102" s="142"/>
      <c r="I102" s="142"/>
    </row>
    <row r="103" spans="1:9" ht="15">
      <c r="A103" s="142"/>
      <c r="B103" s="142"/>
      <c r="C103" s="142"/>
      <c r="D103" s="142"/>
      <c r="E103" s="142"/>
      <c r="F103" s="142"/>
      <c r="G103" s="142"/>
      <c r="H103" s="142"/>
      <c r="I103" s="142"/>
    </row>
    <row r="104" spans="1:9" ht="15">
      <c r="A104" s="142"/>
      <c r="B104" s="142"/>
      <c r="C104" s="142"/>
      <c r="D104" s="142"/>
      <c r="E104" s="142"/>
      <c r="F104" s="142"/>
      <c r="G104" s="142"/>
      <c r="H104" s="142"/>
      <c r="I104" s="142"/>
    </row>
    <row r="105" spans="1:9" ht="15">
      <c r="A105" s="142"/>
      <c r="B105" s="142"/>
      <c r="C105" s="142"/>
      <c r="D105" s="142"/>
      <c r="E105" s="142"/>
      <c r="F105" s="142"/>
      <c r="G105" s="142"/>
      <c r="H105" s="142"/>
      <c r="I105" s="142"/>
    </row>
    <row r="106" spans="1:9" ht="15">
      <c r="A106" s="142"/>
      <c r="B106" s="142"/>
      <c r="C106" s="142"/>
      <c r="D106" s="142"/>
      <c r="E106" s="142"/>
      <c r="F106" s="142"/>
      <c r="G106" s="142"/>
      <c r="H106" s="142"/>
      <c r="I106" s="142"/>
    </row>
    <row r="107" spans="1:9" ht="15">
      <c r="A107" s="142"/>
      <c r="B107" s="142"/>
      <c r="C107" s="142"/>
      <c r="D107" s="142"/>
      <c r="E107" s="142"/>
      <c r="F107" s="142"/>
      <c r="G107" s="142"/>
      <c r="H107" s="142"/>
      <c r="I107" s="142"/>
    </row>
    <row r="108" spans="1:9" ht="15">
      <c r="A108" s="142"/>
      <c r="B108" s="142"/>
      <c r="C108" s="142"/>
      <c r="D108" s="142"/>
      <c r="E108" s="142"/>
      <c r="F108" s="142"/>
      <c r="G108" s="142"/>
      <c r="H108" s="142"/>
      <c r="I108" s="142"/>
    </row>
    <row r="109" spans="1:9" ht="15">
      <c r="A109" s="142"/>
      <c r="B109" s="142"/>
      <c r="C109" s="142"/>
      <c r="D109" s="142"/>
      <c r="E109" s="142"/>
      <c r="F109" s="142"/>
      <c r="G109" s="142"/>
      <c r="H109" s="142"/>
      <c r="I109" s="142"/>
    </row>
    <row r="110" spans="1:9" ht="15">
      <c r="A110" s="142"/>
      <c r="B110" s="142"/>
      <c r="C110" s="142"/>
      <c r="D110" s="142"/>
      <c r="E110" s="142"/>
      <c r="F110" s="142"/>
      <c r="G110" s="142"/>
      <c r="H110" s="142"/>
      <c r="I110" s="142"/>
    </row>
    <row r="111" spans="1:9" ht="15">
      <c r="A111" s="142"/>
      <c r="B111" s="142"/>
      <c r="C111" s="142"/>
      <c r="D111" s="142"/>
      <c r="E111" s="142"/>
      <c r="F111" s="142"/>
      <c r="G111" s="142"/>
      <c r="H111" s="142"/>
      <c r="I111" s="142"/>
    </row>
    <row r="112" spans="1:9" ht="15">
      <c r="A112" s="142"/>
      <c r="B112" s="142"/>
      <c r="C112" s="142"/>
      <c r="D112" s="142"/>
      <c r="E112" s="142"/>
      <c r="F112" s="142"/>
      <c r="G112" s="142"/>
      <c r="H112" s="142"/>
      <c r="I112" s="142"/>
    </row>
    <row r="113" spans="1:9" ht="15">
      <c r="A113" s="142"/>
      <c r="B113" s="142"/>
      <c r="C113" s="142"/>
      <c r="D113" s="142"/>
      <c r="E113" s="142"/>
      <c r="F113" s="142"/>
      <c r="G113" s="142"/>
      <c r="H113" s="142"/>
      <c r="I113" s="142"/>
    </row>
    <row r="114" spans="1:9" ht="15">
      <c r="A114" s="142"/>
      <c r="B114" s="142"/>
      <c r="C114" s="142"/>
      <c r="D114" s="142"/>
      <c r="E114" s="142"/>
      <c r="F114" s="142"/>
      <c r="G114" s="142"/>
      <c r="H114" s="142"/>
      <c r="I114" s="142"/>
    </row>
    <row r="115" spans="1:9" ht="15">
      <c r="A115" s="142"/>
      <c r="B115" s="142"/>
      <c r="C115" s="142"/>
      <c r="D115" s="142"/>
      <c r="E115" s="142"/>
      <c r="F115" s="142"/>
      <c r="G115" s="142"/>
      <c r="H115" s="142"/>
      <c r="I115" s="142"/>
    </row>
    <row r="116" spans="1:9" ht="15">
      <c r="A116" s="142"/>
      <c r="B116" s="142"/>
      <c r="C116" s="142"/>
      <c r="D116" s="142"/>
      <c r="E116" s="142"/>
      <c r="F116" s="142"/>
      <c r="G116" s="142"/>
      <c r="H116" s="142"/>
      <c r="I116" s="142"/>
    </row>
    <row r="117" spans="1:9" ht="15">
      <c r="A117" s="142"/>
      <c r="B117" s="142"/>
      <c r="C117" s="142"/>
      <c r="D117" s="142"/>
      <c r="E117" s="142"/>
      <c r="F117" s="142"/>
      <c r="G117" s="142"/>
      <c r="H117" s="142"/>
      <c r="I117" s="142"/>
    </row>
    <row r="118" spans="1:9" ht="15">
      <c r="A118" s="142"/>
      <c r="B118" s="142"/>
      <c r="C118" s="142"/>
      <c r="D118" s="142"/>
      <c r="E118" s="142"/>
      <c r="F118" s="142"/>
      <c r="G118" s="142"/>
      <c r="H118" s="142"/>
      <c r="I118" s="142"/>
    </row>
    <row r="119" spans="1:9" ht="15">
      <c r="A119" s="142"/>
      <c r="B119" s="142"/>
      <c r="C119" s="142"/>
      <c r="D119" s="142"/>
      <c r="E119" s="142"/>
      <c r="F119" s="142"/>
      <c r="G119" s="142"/>
      <c r="H119" s="142"/>
      <c r="I119" s="142"/>
    </row>
    <row r="120" spans="1:9" ht="15">
      <c r="A120" s="142"/>
      <c r="B120" s="142"/>
      <c r="C120" s="142"/>
      <c r="D120" s="142"/>
      <c r="E120" s="142"/>
      <c r="F120" s="142"/>
      <c r="G120" s="142"/>
      <c r="H120" s="142"/>
      <c r="I120" s="142"/>
    </row>
    <row r="121" spans="1:9" ht="15">
      <c r="A121" s="142"/>
      <c r="B121" s="142"/>
      <c r="C121" s="142"/>
      <c r="D121" s="142"/>
      <c r="E121" s="142"/>
      <c r="F121" s="142"/>
      <c r="G121" s="142"/>
      <c r="H121" s="142"/>
      <c r="I121" s="142"/>
    </row>
    <row r="122" spans="1:9" ht="15">
      <c r="A122" s="142"/>
      <c r="B122" s="142"/>
      <c r="C122" s="142"/>
      <c r="D122" s="142"/>
      <c r="E122" s="142"/>
      <c r="F122" s="142"/>
      <c r="G122" s="142"/>
      <c r="H122" s="142"/>
      <c r="I122" s="142"/>
    </row>
    <row r="123" spans="1:9" ht="15">
      <c r="A123" s="142"/>
      <c r="B123" s="142"/>
      <c r="C123" s="142"/>
      <c r="D123" s="142"/>
      <c r="E123" s="142"/>
      <c r="F123" s="142"/>
      <c r="G123" s="142"/>
      <c r="H123" s="142"/>
      <c r="I123" s="142"/>
    </row>
  </sheetData>
  <sheetProtection/>
  <mergeCells count="4">
    <mergeCell ref="A1:I2"/>
    <mergeCell ref="A3:C3"/>
    <mergeCell ref="D3:F3"/>
    <mergeCell ref="G3:I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Ag., Env., &amp; Dev.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Moore</dc:creator>
  <cp:keywords/>
  <dc:description/>
  <cp:lastModifiedBy>Barry Ward</cp:lastModifiedBy>
  <cp:lastPrinted>2014-05-19T15:41:15Z</cp:lastPrinted>
  <dcterms:created xsi:type="dcterms:W3CDTF">2002-12-27T15:34:03Z</dcterms:created>
  <dcterms:modified xsi:type="dcterms:W3CDTF">2014-05-19T17:32:26Z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