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rd.8\Documents\Budgets2016\"/>
    </mc:Choice>
  </mc:AlternateContent>
  <bookViews>
    <workbookView xWindow="0" yWindow="0" windowWidth="25200" windowHeight="11985"/>
  </bookViews>
  <sheets>
    <sheet name="alfhay" sheetId="1" r:id="rId1"/>
    <sheet name="Machinery Costs" sheetId="2" r:id="rId2"/>
  </sheets>
  <definedNames>
    <definedName name="_xlnm.Print_Area" localSheetId="0">alfhay!$A$1:$P$139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0" i="1" l="1"/>
  <c r="N99" i="1"/>
  <c r="N101" i="1"/>
  <c r="I20" i="1"/>
  <c r="K20" i="1"/>
  <c r="I19" i="1"/>
  <c r="P19" i="1"/>
  <c r="I8" i="2"/>
  <c r="D8" i="2"/>
  <c r="C8" i="2"/>
  <c r="G8" i="2"/>
  <c r="I7" i="2"/>
  <c r="D7" i="2"/>
  <c r="C7" i="2"/>
  <c r="L99" i="1"/>
  <c r="K28" i="1"/>
  <c r="M99" i="1"/>
  <c r="P28" i="1"/>
  <c r="N28" i="1"/>
  <c r="M28" i="1"/>
  <c r="L28" i="1"/>
  <c r="L101" i="1"/>
  <c r="D5" i="2"/>
  <c r="D4" i="2"/>
  <c r="C4" i="2"/>
  <c r="D3" i="2"/>
  <c r="C3" i="2"/>
  <c r="D2" i="2"/>
  <c r="C2" i="2"/>
  <c r="N102" i="1"/>
  <c r="L103" i="1"/>
  <c r="I4" i="2"/>
  <c r="N103" i="1"/>
  <c r="D6" i="2"/>
  <c r="C6" i="2"/>
  <c r="F6" i="2"/>
  <c r="I6" i="2"/>
  <c r="D9" i="2"/>
  <c r="C9" i="2"/>
  <c r="O48" i="1"/>
  <c r="O49" i="1"/>
  <c r="O46" i="1"/>
  <c r="O47" i="1"/>
  <c r="L102" i="1"/>
  <c r="L100" i="1"/>
  <c r="I3" i="2"/>
  <c r="I5" i="2"/>
  <c r="I9" i="2"/>
  <c r="I2" i="2"/>
  <c r="M103" i="1"/>
  <c r="M101" i="1"/>
  <c r="M105" i="1"/>
  <c r="N105" i="1"/>
  <c r="M100" i="1"/>
  <c r="M102" i="1"/>
  <c r="M106" i="1"/>
  <c r="P16" i="1"/>
  <c r="P21" i="1"/>
  <c r="P11" i="1"/>
  <c r="P12" i="1"/>
  <c r="K16" i="1"/>
  <c r="K21" i="1"/>
  <c r="P35" i="1"/>
  <c r="K11" i="1"/>
  <c r="K12" i="1"/>
  <c r="K35" i="1"/>
  <c r="N21" i="1"/>
  <c r="M21" i="1"/>
  <c r="L21" i="1"/>
  <c r="L11" i="1"/>
  <c r="M11" i="1"/>
  <c r="M12" i="1"/>
  <c r="M13" i="1"/>
  <c r="M36" i="1"/>
  <c r="N11" i="1"/>
  <c r="L12" i="1"/>
  <c r="N12" i="1"/>
  <c r="L16" i="1"/>
  <c r="M16" i="1"/>
  <c r="N16" i="1"/>
  <c r="L35" i="1"/>
  <c r="M35" i="1"/>
  <c r="N35" i="1"/>
  <c r="N13" i="1"/>
  <c r="N36" i="1"/>
  <c r="L107" i="1"/>
  <c r="L108" i="1"/>
  <c r="P23" i="1"/>
  <c r="L13" i="1"/>
  <c r="L36" i="1"/>
  <c r="P13" i="1"/>
  <c r="M23" i="1"/>
  <c r="N20" i="1"/>
  <c r="K13" i="1"/>
  <c r="K36" i="1"/>
  <c r="M104" i="1"/>
  <c r="N104" i="1"/>
  <c r="N108" i="1"/>
  <c r="L23" i="1"/>
  <c r="M20" i="1"/>
  <c r="L20" i="1"/>
  <c r="P20" i="1"/>
  <c r="P36" i="1"/>
  <c r="G4" i="2"/>
  <c r="E4" i="2"/>
  <c r="F4" i="2"/>
  <c r="E9" i="2"/>
  <c r="G9" i="2"/>
  <c r="L19" i="1"/>
  <c r="M19" i="1"/>
  <c r="K23" i="1"/>
  <c r="N23" i="1"/>
  <c r="K19" i="1"/>
  <c r="E8" i="2"/>
  <c r="N19" i="1"/>
  <c r="G3" i="2"/>
  <c r="F3" i="2"/>
  <c r="E3" i="2"/>
  <c r="F7" i="2"/>
  <c r="E7" i="2"/>
  <c r="G7" i="2"/>
  <c r="G2" i="2"/>
  <c r="F2" i="2"/>
  <c r="E2" i="2"/>
  <c r="F8" i="2"/>
  <c r="C5" i="2"/>
  <c r="F9" i="2"/>
  <c r="E6" i="2"/>
  <c r="G6" i="2"/>
  <c r="H4" i="2"/>
  <c r="J4" i="2"/>
  <c r="J101" i="1"/>
  <c r="H3" i="2"/>
  <c r="J3" i="2"/>
  <c r="J100" i="1"/>
  <c r="H2" i="2"/>
  <c r="J2" i="2"/>
  <c r="J99" i="1"/>
  <c r="H8" i="2"/>
  <c r="J8" i="2"/>
  <c r="J105" i="1"/>
  <c r="H6" i="2"/>
  <c r="J6" i="2"/>
  <c r="J103" i="1"/>
  <c r="H9" i="2"/>
  <c r="J9" i="2"/>
  <c r="J106" i="1"/>
  <c r="H7" i="2"/>
  <c r="J7" i="2"/>
  <c r="J104" i="1"/>
  <c r="P24" i="1"/>
  <c r="K24" i="1"/>
  <c r="K26" i="1"/>
  <c r="K31" i="1"/>
  <c r="L24" i="1"/>
  <c r="L26" i="1"/>
  <c r="M24" i="1"/>
  <c r="M26" i="1"/>
  <c r="N24" i="1"/>
  <c r="N26" i="1"/>
  <c r="N31" i="1"/>
  <c r="F5" i="2"/>
  <c r="E5" i="2"/>
  <c r="G5" i="2"/>
  <c r="L31" i="1"/>
  <c r="L32" i="1"/>
  <c r="K32" i="1"/>
  <c r="K48" i="1"/>
  <c r="N32" i="1"/>
  <c r="N48" i="1"/>
  <c r="M31" i="1"/>
  <c r="P26" i="1"/>
  <c r="P31" i="1"/>
  <c r="H5" i="2"/>
  <c r="J5" i="2"/>
  <c r="J102" i="1"/>
  <c r="J108" i="1"/>
  <c r="L48" i="1"/>
  <c r="P32" i="1"/>
  <c r="P48" i="1"/>
  <c r="M32" i="1"/>
  <c r="M48" i="1"/>
  <c r="K37" i="1"/>
  <c r="K41" i="1"/>
  <c r="K43" i="1"/>
  <c r="N37" i="1"/>
  <c r="N41" i="1"/>
  <c r="N43" i="1"/>
  <c r="P37" i="1"/>
  <c r="P41" i="1"/>
  <c r="P43" i="1"/>
  <c r="M37" i="1"/>
  <c r="M41" i="1"/>
  <c r="M43" i="1"/>
  <c r="L37" i="1"/>
  <c r="L41" i="1"/>
  <c r="L43" i="1"/>
  <c r="P49" i="1"/>
  <c r="P44" i="1"/>
  <c r="N44" i="1"/>
  <c r="N49" i="1"/>
  <c r="L44" i="1"/>
  <c r="L49" i="1"/>
  <c r="K49" i="1"/>
  <c r="K44" i="1"/>
  <c r="M49" i="1"/>
  <c r="M44" i="1"/>
  <c r="L47" i="1"/>
  <c r="L46" i="1"/>
  <c r="M46" i="1"/>
  <c r="M47" i="1"/>
  <c r="P47" i="1"/>
  <c r="P46" i="1"/>
  <c r="N47" i="1"/>
  <c r="N46" i="1"/>
  <c r="K47" i="1"/>
  <c r="K46" i="1"/>
</calcChain>
</file>

<file path=xl/sharedStrings.xml><?xml version="1.0" encoding="utf-8"?>
<sst xmlns="http://schemas.openxmlformats.org/spreadsheetml/2006/main" count="173" uniqueCount="152">
  <si>
    <t>ITEM</t>
  </si>
  <si>
    <t>EXPLANATION</t>
  </si>
  <si>
    <t>PRICE PER</t>
  </si>
  <si>
    <t>YOUR</t>
  </si>
  <si>
    <t>UNIT</t>
  </si>
  <si>
    <t>BUDGET</t>
  </si>
  <si>
    <t>Alfalfa Hay - High Quality</t>
  </si>
  <si>
    <t>of yield</t>
  </si>
  <si>
    <t>/ton</t>
  </si>
  <si>
    <t>Total Alfalfa Receipts</t>
  </si>
  <si>
    <t>VARIABLE  COSTS</t>
  </si>
  <si>
    <t xml:space="preserve"> pounds</t>
  </si>
  <si>
    <t>/lb</t>
  </si>
  <si>
    <t>Lime(ton)</t>
  </si>
  <si>
    <t>mo</t>
  </si>
  <si>
    <t>TOTAL VARIABLE COSTS</t>
  </si>
  <si>
    <t>-Per Acre</t>
  </si>
  <si>
    <t>-Per Ton</t>
  </si>
  <si>
    <t>FIXED COSTS</t>
  </si>
  <si>
    <t>hours</t>
  </si>
  <si>
    <t>/hour</t>
  </si>
  <si>
    <t>Management Charge</t>
  </si>
  <si>
    <t>of gross revenue</t>
  </si>
  <si>
    <t>TOTAL FIXED COSTS</t>
  </si>
  <si>
    <t>TOTAL COSTS</t>
  </si>
  <si>
    <t>RETURN ABOVE VARIABLE COSTS</t>
  </si>
  <si>
    <t>RETURN ABOVE TOTAL COSTS</t>
  </si>
  <si>
    <t>at less than optimum maturity and/or condition. 60% of crop is assumed to be harvested at optimum conditions.</t>
  </si>
  <si>
    <t xml:space="preserve">Annual application of maintenance fertilizer. 5-10 lb. of N. could be added at seeding. </t>
  </si>
  <si>
    <t>vary over time and by area.  Check with local sources for current prices.</t>
  </si>
  <si>
    <t>See table below for specific calculations.</t>
  </si>
  <si>
    <t xml:space="preserve">Part or all of labor may be a variable cost if paid labor varies with acres farmed. It’s a fixed cost if labor costs  </t>
  </si>
  <si>
    <t>Seedbed preparation and seeding costs are charged at custom hire rates and prorated over 4 years.  The following</t>
  </si>
  <si>
    <t>Return to labor and management is the revenue less total expenses except operator labor and management.</t>
  </si>
  <si>
    <t>It is a measure of the returns to the operator's labor and management.</t>
  </si>
  <si>
    <t>Number times used</t>
  </si>
  <si>
    <t>Repairs ($/A)</t>
  </si>
  <si>
    <r>
      <t>YIELD (ton/A)</t>
    </r>
    <r>
      <rPr>
        <b/>
        <vertAlign val="superscript"/>
        <sz val="10"/>
        <rFont val="Arial"/>
        <family val="2"/>
      </rPr>
      <t xml:space="preserve">  2</t>
    </r>
  </si>
  <si>
    <r>
      <t xml:space="preserve">RECEIPTS </t>
    </r>
    <r>
      <rPr>
        <b/>
        <vertAlign val="superscript"/>
        <sz val="10"/>
        <rFont val="Arial"/>
        <family val="2"/>
      </rPr>
      <t>3</t>
    </r>
  </si>
  <si>
    <r>
      <t xml:space="preserve">Seed </t>
    </r>
    <r>
      <rPr>
        <vertAlign val="superscript"/>
        <sz val="10"/>
        <rFont val="Arial"/>
        <family val="2"/>
      </rPr>
      <t>4</t>
    </r>
  </si>
  <si>
    <r>
      <t xml:space="preserve">Fertilizer </t>
    </r>
    <r>
      <rPr>
        <vertAlign val="superscript"/>
        <sz val="10"/>
        <rFont val="Arial"/>
        <family val="2"/>
      </rPr>
      <t>5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</si>
  <si>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</si>
  <si>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</si>
  <si>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6</t>
    </r>
  </si>
  <si>
    <r>
      <t xml:space="preserve">Fuel, Oil, Grease </t>
    </r>
    <r>
      <rPr>
        <vertAlign val="superscript"/>
        <sz val="10"/>
        <rFont val="Arial"/>
        <family val="2"/>
      </rPr>
      <t>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</si>
  <si>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</si>
  <si>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Miscellaneous </t>
    </r>
    <r>
      <rPr>
        <vertAlign val="superscript"/>
        <sz val="10"/>
        <rFont val="Arial"/>
        <family val="2"/>
      </rPr>
      <t>9</t>
    </r>
  </si>
  <si>
    <t>Machinery Cost</t>
  </si>
  <si>
    <t>Acres per Year</t>
  </si>
  <si>
    <t>Cost per Acre</t>
  </si>
  <si>
    <t>Acres/ Hr</t>
  </si>
  <si>
    <t>Fuel*        (gal/A)</t>
  </si>
  <si>
    <t>-----</t>
  </si>
  <si>
    <t>Pickup Truck (1/2)**</t>
  </si>
  <si>
    <t>Fuel</t>
  </si>
  <si>
    <t>Machinery and Equipment Charge per Acre</t>
  </si>
  <si>
    <t>F&amp;L</t>
  </si>
  <si>
    <t>Repairs</t>
  </si>
  <si>
    <t>Price of Diesel Fuel =</t>
  </si>
  <si>
    <t>Years 2-4</t>
  </si>
  <si>
    <t xml:space="preserve">Assumes a 2.5 ton yield in seeding year; yields of approximately 4, 6, or 8 tons in years 2 through 4 </t>
  </si>
  <si>
    <t>See table below for specific calculations. Lubrication costs are assumed to be 10% of fuel costs.</t>
  </si>
  <si>
    <r>
      <t>Custom Hire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</si>
  <si>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 xml:space="preserve"> 12</t>
    </r>
  </si>
  <si>
    <r>
      <t xml:space="preserve">Labor Charge </t>
    </r>
    <r>
      <rPr>
        <vertAlign val="superscript"/>
        <sz val="10"/>
        <rFont val="Arial"/>
        <family val="2"/>
      </rPr>
      <t>12</t>
    </r>
  </si>
  <si>
    <r>
      <t xml:space="preserve">Mach. And Equip. Charge </t>
    </r>
    <r>
      <rPr>
        <vertAlign val="superscript"/>
        <sz val="10"/>
        <rFont val="Arial"/>
        <family val="2"/>
      </rPr>
      <t>13</t>
    </r>
  </si>
  <si>
    <r>
      <t xml:space="preserve">Seedbed Preparation/Seeding Costs - Custom Hire  </t>
    </r>
    <r>
      <rPr>
        <vertAlign val="superscript"/>
        <sz val="10"/>
        <rFont val="Arial"/>
        <family val="2"/>
      </rPr>
      <t>14</t>
    </r>
  </si>
  <si>
    <r>
      <t xml:space="preserve">Land Charge </t>
    </r>
    <r>
      <rPr>
        <vertAlign val="superscript"/>
        <sz val="10"/>
        <rFont val="Arial"/>
        <family val="2"/>
      </rPr>
      <t>15</t>
    </r>
  </si>
  <si>
    <t>Harvest Machinery and Equipment Inventory</t>
  </si>
  <si>
    <r>
      <t>Year 1</t>
    </r>
    <r>
      <rPr>
        <b/>
        <vertAlign val="superscript"/>
        <sz val="10"/>
        <rFont val="Arial"/>
        <family val="2"/>
      </rPr>
      <t>2</t>
    </r>
  </si>
  <si>
    <t xml:space="preserve">Soil test values of CEC=20, P=25 ppm, K=150 ppm. Fertilizer prices </t>
  </si>
  <si>
    <t>Lime applied prior to seeding - 2 Tons prorated over the 4 year period; 0.5 ton per year.</t>
  </si>
  <si>
    <t>PROD.</t>
  </si>
  <si>
    <t>Numbers</t>
  </si>
  <si>
    <t>Assumes MAP(11-52-0):</t>
  </si>
  <si>
    <t>Potash(0-0-60):</t>
  </si>
  <si>
    <t>Fertilizer Spreader</t>
  </si>
  <si>
    <t>Updated:</t>
  </si>
  <si>
    <t xml:space="preserve">do not change with acres farmed. </t>
  </si>
  <si>
    <t>Hay Baler - PTO Twine 12 Ft.</t>
  </si>
  <si>
    <t>the spreadsheet.</t>
  </si>
  <si>
    <t>These cells may be input manually, but macros will be overwritten!</t>
  </si>
  <si>
    <t>Values highlighted in gray are stand alone cells that require direct input from the user.</t>
  </si>
  <si>
    <t>RETURN TO LAND</t>
  </si>
  <si>
    <t>Average Value</t>
  </si>
  <si>
    <t>Depreciation</t>
  </si>
  <si>
    <t>Cost Cap.</t>
  </si>
  <si>
    <t>Insurance</t>
  </si>
  <si>
    <t>Housing</t>
  </si>
  <si>
    <t>Total</t>
  </si>
  <si>
    <t>Cost/Acre</t>
  </si>
  <si>
    <t>Acres/Year</t>
  </si>
  <si>
    <t>Hours / Year</t>
  </si>
  <si>
    <t>Land charges vary throughout the state, check your local rates.</t>
  </si>
  <si>
    <t>See the reference online at:</t>
  </si>
  <si>
    <t>Mower/Cond. 12 ft.</t>
  </si>
  <si>
    <t>**Pickup truck assumed to be used equipment.</t>
  </si>
  <si>
    <t xml:space="preserve">Machines are all assumed to be new and in the first year of use (Except for pickup truck). </t>
  </si>
  <si>
    <t xml:space="preserve">Based on 86% DM alfalfa hay.  Alfalfa hay quality will often vary over the growing season.  High quality alfalfa is </t>
  </si>
  <si>
    <t>Year 1 Fertilizer application rates assumed to be at the 4.0 ton yield goal.</t>
  </si>
  <si>
    <t>Salvage values are based on ASAE formulas.</t>
  </si>
  <si>
    <t>*Fuel calculations are based on the implement plus tractor. Four cuttings assumed.</t>
  </si>
  <si>
    <t>Prepared by:</t>
  </si>
  <si>
    <t>Hay Wagons (4)</t>
  </si>
  <si>
    <r>
      <t>Hauling</t>
    </r>
    <r>
      <rPr>
        <vertAlign val="superscript"/>
        <sz val="10"/>
        <rFont val="Arial"/>
        <family val="2"/>
      </rPr>
      <t>11a</t>
    </r>
  </si>
  <si>
    <t>11a</t>
  </si>
  <si>
    <t>/gal Diesel</t>
  </si>
  <si>
    <t>miles</t>
  </si>
  <si>
    <t>Hauling assumes 3.5 tons per wagon. 6 miles/gallon for Truck. Lube/Oil is 10% of fuel cost.</t>
  </si>
  <si>
    <t xml:space="preserve">years (depending on soil productivity). </t>
  </si>
  <si>
    <t>OSU Extension Enterprise Budgets can be found online at:</t>
  </si>
  <si>
    <t>http://aede.osu.edu/programs/farmmanagement/budgets</t>
  </si>
  <si>
    <t>See table below for details.</t>
  </si>
  <si>
    <t xml:space="preserve">Machinery charges based on 4 cuttings per year, spring seeding year charges at 50% of annual costs based on two cuttings.  </t>
  </si>
  <si>
    <t>Hay Rake - 30'</t>
  </si>
  <si>
    <t>5.0 % Interest on average value, 0.5% Insurance cost on average value and 1.0% Housing cost on average value.</t>
  </si>
  <si>
    <t xml:space="preserve"> Does not include storage costs.</t>
  </si>
  <si>
    <t>Machinery cost estimates, fuel estimates and cost calculations based on information from "Machinery Cost Estimates"</t>
  </si>
  <si>
    <t>Year 2: $4.25/acre (Baythroid - 2.5 oz/a for alfalfa weevil, 1.6 oz/a for potato leafhopper)</t>
  </si>
  <si>
    <t>Year 3: $20.50/acre (metribuzin - 1 lb/ac, Baythroid at 1.6 oz/a for PLH, 2 treatments).</t>
  </si>
  <si>
    <t>Year 4: $1.65/acre (Baythroid at 1.6 oz/a for PLH).</t>
  </si>
  <si>
    <t>Year 2-4 Avg. = $8.80/ac</t>
  </si>
  <si>
    <t>Land charge in year 1 assumes you are budgeting for soil productivity capabilities of 6 ton/acre (average productivity)</t>
  </si>
  <si>
    <t>Reflects 2000 crop acres including 400 acres of alfalfa hay, 800 acres corn, 800 acres soybeans</t>
  </si>
  <si>
    <t>Assumes production of 400 acres of alfalfa haylage (total farm size: 2000 acres).</t>
  </si>
  <si>
    <t>Seed costs are prorated over the four-year stand life.</t>
  </si>
  <si>
    <r>
      <t xml:space="preserve">Interest on Operating Capital </t>
    </r>
    <r>
      <rPr>
        <vertAlign val="superscript"/>
        <sz val="10"/>
        <rFont val="Arial"/>
        <family val="2"/>
      </rPr>
      <t>10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</si>
  <si>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16</t>
    </r>
  </si>
  <si>
    <t>Includes twine, other supplies, utilities, soil tests, small tools, etc…</t>
  </si>
  <si>
    <t>Average based on "Ohio Cropland Values and Cash Rents" factsheet: http://aede.osu.edu/research/osu-farm-management</t>
  </si>
  <si>
    <t>Machinery and Equipment charge per acre:</t>
  </si>
  <si>
    <t>Machinery cost (new cost) assumes 8 year useful life using straight line depreciation,</t>
  </si>
  <si>
    <t>Rotary Mower/Cond. 12 ft.</t>
  </si>
  <si>
    <t>105 HP Tractor</t>
  </si>
  <si>
    <t>75 HP Tractor</t>
  </si>
  <si>
    <r>
      <t>Interest charged for 6 months</t>
    </r>
    <r>
      <rPr>
        <sz val="10"/>
        <rFont val="Arial"/>
        <family val="2"/>
      </rPr>
      <t>.</t>
    </r>
  </si>
  <si>
    <t>Alfalfa Hay - Fair Quality</t>
  </si>
  <si>
    <r>
      <t xml:space="preserve">Spring Seeding - 4 Year Stand </t>
    </r>
    <r>
      <rPr>
        <b/>
        <vertAlign val="superscript"/>
        <sz val="12"/>
        <rFont val="Arial"/>
        <family val="2"/>
      </rPr>
      <t>1</t>
    </r>
  </si>
  <si>
    <t xml:space="preserve">assumed to be harvested at optimum maturity and condition.  Fair quality alfalfa is assumed to be harvested </t>
  </si>
  <si>
    <t>Custom hire includes: 8 chemical sprays over 4 year period @ $7/acre = $56/acre/4 years = $14/acre</t>
  </si>
  <si>
    <t>rates per acre are included: Chisel Plow $17.80, Field Cultivate-$13.55, Cultimulch-$14.30, Seeding-$16.75 = $62.40.</t>
  </si>
  <si>
    <t>$62.40 divided by 4 years = $15.60/acre</t>
  </si>
  <si>
    <t>Authors: Barry Ward, Dr. Mark Sulc, Dianne Shoemaker, Dr. Mark Loux</t>
  </si>
  <si>
    <t xml:space="preserve">*Leader, Production Business Management; Extension Specialist, Forages; </t>
  </si>
  <si>
    <t>Extension Field Specialist, Dairy Production Economics; Extension Specialist, Weed Science.</t>
  </si>
  <si>
    <t>2016 ALFALFA HAY PRODUCTION BUDGET</t>
  </si>
  <si>
    <t xml:space="preserve">Values highlighted in gold may be changed to assist in computing the "Your Budget" column using macros embedded within  </t>
  </si>
  <si>
    <t>Values highlighted in light blue are cells embedded with macros and will be calculated for the user based on data entered.</t>
  </si>
  <si>
    <t>Seeding year: $20.61/acre (Pursuit - 4 oz/a,  Select - 7 oz/a, Baythroid - 1.6 oz/a)</t>
  </si>
  <si>
    <t>The "machinery cost" tab (next tab at the bottom of this worksheet) shows details of "Machinery and Equipment Charge per Acre".</t>
  </si>
  <si>
    <t>https://drive.google.com/file/d/0B3psjoooP5QxWWd3a2cwblJCTjQ/view</t>
  </si>
  <si>
    <t>Based on Ohio Farm Custom Rates: http://aede.osu.edu/about-us/publications/ohio-farm-custom-rates-2016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</si>
</sst>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5" fillId="0" borderId="0" xfId="0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3" xfId="0" applyFont="1" applyBorder="1"/>
    <xf numFmtId="49" fontId="5" fillId="0" borderId="0" xfId="0" applyNumberFormat="1" applyFont="1"/>
    <xf numFmtId="0" fontId="5" fillId="0" borderId="2" xfId="0" applyFont="1" applyBorder="1"/>
    <xf numFmtId="1" fontId="3" fillId="0" borderId="2" xfId="0" applyNumberFormat="1" applyFont="1" applyBorder="1"/>
    <xf numFmtId="2" fontId="3" fillId="0" borderId="0" xfId="0" applyNumberFormat="1" applyFont="1" applyBorder="1"/>
    <xf numFmtId="0" fontId="8" fillId="0" borderId="0" xfId="0" applyFont="1"/>
    <xf numFmtId="1" fontId="0" fillId="0" borderId="0" xfId="0" applyNumberFormat="1"/>
    <xf numFmtId="166" fontId="12" fillId="2" borderId="0" xfId="0" applyNumberFormat="1" applyFont="1" applyFill="1" applyAlignment="1">
      <alignment horizontal="center"/>
    </xf>
    <xf numFmtId="2" fontId="0" fillId="0" borderId="0" xfId="0" applyNumberFormat="1"/>
    <xf numFmtId="0" fontId="11" fillId="0" borderId="0" xfId="0" applyFont="1"/>
    <xf numFmtId="2" fontId="5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2" fontId="12" fillId="0" borderId="2" xfId="0" quotePrefix="1" applyNumberFormat="1" applyFont="1" applyBorder="1" applyAlignment="1">
      <alignment horizontal="center"/>
    </xf>
    <xf numFmtId="9" fontId="12" fillId="0" borderId="0" xfId="4" applyFont="1"/>
    <xf numFmtId="0" fontId="12" fillId="0" borderId="0" xfId="0" applyFont="1" applyAlignment="1">
      <alignment horizontal="center"/>
    </xf>
    <xf numFmtId="165" fontId="0" fillId="0" borderId="0" xfId="0" applyNumberFormat="1"/>
    <xf numFmtId="0" fontId="13" fillId="0" borderId="0" xfId="0" applyFont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168" fontId="13" fillId="0" borderId="0" xfId="1" applyNumberFormat="1" applyFont="1" applyAlignment="1">
      <alignment horizontal="center"/>
    </xf>
    <xf numFmtId="165" fontId="13" fillId="3" borderId="0" xfId="0" applyNumberFormat="1" applyFont="1" applyFill="1" applyAlignment="1">
      <alignment horizontal="center"/>
    </xf>
    <xf numFmtId="9" fontId="13" fillId="0" borderId="0" xfId="4" applyFont="1" applyAlignment="1">
      <alignment horizontal="right"/>
    </xf>
    <xf numFmtId="9" fontId="12" fillId="0" borderId="0" xfId="4" applyFont="1" applyAlignment="1">
      <alignment horizontal="right"/>
    </xf>
    <xf numFmtId="168" fontId="12" fillId="0" borderId="0" xfId="1" applyNumberFormat="1" applyFont="1"/>
    <xf numFmtId="2" fontId="13" fillId="0" borderId="0" xfId="0" applyNumberFormat="1" applyFont="1"/>
    <xf numFmtId="168" fontId="13" fillId="0" borderId="0" xfId="0" applyNumberFormat="1" applyFont="1" applyAlignment="1">
      <alignment horizontal="right"/>
    </xf>
    <xf numFmtId="7" fontId="13" fillId="2" borderId="0" xfId="2" applyNumberFormat="1" applyFont="1" applyFill="1"/>
    <xf numFmtId="164" fontId="12" fillId="2" borderId="0" xfId="0" quotePrefix="1" applyNumberFormat="1" applyFont="1" applyFill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4" fontId="3" fillId="0" borderId="3" xfId="0" quotePrefix="1" applyNumberFormat="1" applyFont="1" applyBorder="1"/>
    <xf numFmtId="4" fontId="3" fillId="0" borderId="5" xfId="0" applyNumberFormat="1" applyFon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68" fontId="3" fillId="0" borderId="0" xfId="1" applyNumberFormat="1" applyFont="1" applyBorder="1"/>
    <xf numFmtId="2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7" fontId="5" fillId="0" borderId="0" xfId="2" applyNumberFormat="1" applyFont="1" applyBorder="1"/>
    <xf numFmtId="168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  <xf numFmtId="168" fontId="12" fillId="0" borderId="0" xfId="0" applyNumberFormat="1" applyFont="1" applyAlignment="1">
      <alignment horizontal="right"/>
    </xf>
    <xf numFmtId="2" fontId="12" fillId="0" borderId="0" xfId="0" applyNumberFormat="1" applyFont="1"/>
    <xf numFmtId="2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164" fontId="5" fillId="2" borderId="2" xfId="0" applyNumberFormat="1" applyFont="1" applyFill="1" applyBorder="1"/>
    <xf numFmtId="4" fontId="5" fillId="3" borderId="0" xfId="0" applyNumberFormat="1" applyFont="1" applyFill="1"/>
    <xf numFmtId="4" fontId="5" fillId="3" borderId="3" xfId="0" applyNumberFormat="1" applyFont="1" applyFill="1" applyBorder="1"/>
    <xf numFmtId="4" fontId="5" fillId="0" borderId="0" xfId="0" applyNumberFormat="1" applyFont="1"/>
    <xf numFmtId="4" fontId="5" fillId="0" borderId="3" xfId="0" quotePrefix="1" applyNumberFormat="1" applyFont="1" applyBorder="1"/>
    <xf numFmtId="9" fontId="14" fillId="2" borderId="0" xfId="4" applyFont="1" applyFill="1"/>
    <xf numFmtId="166" fontId="14" fillId="2" borderId="0" xfId="0" applyNumberFormat="1" applyFont="1" applyFill="1"/>
    <xf numFmtId="0" fontId="14" fillId="2" borderId="0" xfId="0" applyFont="1" applyFill="1"/>
    <xf numFmtId="167" fontId="14" fillId="2" borderId="0" xfId="0" applyNumberFormat="1" applyFont="1" applyFill="1"/>
    <xf numFmtId="4" fontId="5" fillId="4" borderId="0" xfId="0" applyNumberFormat="1" applyFont="1" applyFill="1"/>
    <xf numFmtId="0" fontId="5" fillId="0" borderId="2" xfId="0" applyFont="1" applyBorder="1" applyAlignment="1">
      <alignment horizontal="center"/>
    </xf>
    <xf numFmtId="4" fontId="5" fillId="0" borderId="0" xfId="0" applyNumberFormat="1" applyFont="1" applyFill="1"/>
    <xf numFmtId="9" fontId="0" fillId="0" borderId="0" xfId="0" applyNumberFormat="1"/>
    <xf numFmtId="0" fontId="12" fillId="0" borderId="0" xfId="0" quotePrefix="1" applyFont="1"/>
    <xf numFmtId="0" fontId="0" fillId="5" borderId="0" xfId="0" applyFill="1" applyBorder="1"/>
    <xf numFmtId="164" fontId="12" fillId="2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2" xfId="0" applyNumberFormat="1" applyBorder="1"/>
    <xf numFmtId="2" fontId="12" fillId="3" borderId="1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39" fontId="12" fillId="3" borderId="2" xfId="0" applyNumberFormat="1" applyFont="1" applyFill="1" applyBorder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0" xfId="0" applyNumberFormat="1" applyFill="1" applyBorder="1"/>
    <xf numFmtId="0" fontId="0" fillId="0" borderId="2" xfId="0" applyBorder="1"/>
    <xf numFmtId="2" fontId="0" fillId="0" borderId="0" xfId="0" applyNumberFormat="1" applyAlignment="1">
      <alignment horizontal="center" wrapText="1"/>
    </xf>
    <xf numFmtId="165" fontId="0" fillId="3" borderId="2" xfId="0" applyNumberFormat="1" applyFill="1" applyBorder="1" applyAlignment="1">
      <alignment horizontal="center"/>
    </xf>
    <xf numFmtId="0" fontId="2" fillId="0" borderId="0" xfId="3" applyAlignment="1" applyProtection="1"/>
    <xf numFmtId="165" fontId="14" fillId="2" borderId="0" xfId="0" applyNumberFormat="1" applyFont="1" applyFill="1"/>
    <xf numFmtId="166" fontId="12" fillId="2" borderId="0" xfId="0" applyNumberFormat="1" applyFont="1" applyFill="1"/>
    <xf numFmtId="166" fontId="12" fillId="2" borderId="0" xfId="0" quotePrefix="1" applyNumberFormat="1" applyFont="1" applyFill="1"/>
    <xf numFmtId="0" fontId="12" fillId="0" borderId="0" xfId="0" applyFont="1" applyBorder="1"/>
    <xf numFmtId="0" fontId="3" fillId="0" borderId="0" xfId="0" quotePrefix="1" applyFont="1"/>
    <xf numFmtId="165" fontId="5" fillId="2" borderId="0" xfId="0" applyNumberFormat="1" applyFont="1" applyFill="1"/>
    <xf numFmtId="1" fontId="5" fillId="2" borderId="0" xfId="0" applyNumberFormat="1" applyFont="1" applyFill="1"/>
    <xf numFmtId="2" fontId="5" fillId="6" borderId="0" xfId="0" applyNumberFormat="1" applyFont="1" applyFill="1"/>
    <xf numFmtId="4" fontId="5" fillId="7" borderId="0" xfId="0" applyNumberFormat="1" applyFont="1" applyFill="1"/>
    <xf numFmtId="0" fontId="2" fillId="0" borderId="0" xfId="3" applyBorder="1" applyAlignment="1" applyProtection="1"/>
    <xf numFmtId="169" fontId="14" fillId="2" borderId="0" xfId="0" applyNumberFormat="1" applyFont="1" applyFill="1"/>
    <xf numFmtId="2" fontId="0" fillId="3" borderId="2" xfId="0" applyNumberFormat="1" applyFill="1" applyBorder="1"/>
    <xf numFmtId="0" fontId="0" fillId="0" borderId="0" xfId="0"/>
    <xf numFmtId="0" fontId="16" fillId="0" borderId="0" xfId="0" applyFont="1"/>
    <xf numFmtId="0" fontId="7" fillId="0" borderId="0" xfId="0" applyFont="1"/>
    <xf numFmtId="14" fontId="3" fillId="0" borderId="0" xfId="0" applyNumberFormat="1" applyFont="1"/>
    <xf numFmtId="0" fontId="3" fillId="8" borderId="0" xfId="0" applyFont="1" applyFill="1"/>
    <xf numFmtId="0" fontId="0" fillId="0" borderId="0" xfId="0" applyFont="1" applyBorder="1"/>
    <xf numFmtId="0" fontId="0" fillId="0" borderId="0" xfId="0" applyFont="1"/>
    <xf numFmtId="0" fontId="3" fillId="0" borderId="0" xfId="0" applyFont="1" applyFill="1"/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Border="1"/>
    <xf numFmtId="0" fontId="12" fillId="0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3" fillId="11" borderId="0" xfId="0" applyFont="1" applyFill="1" applyBorder="1"/>
    <xf numFmtId="2" fontId="13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47625</xdr:rowOff>
    </xdr:from>
    <xdr:to>
      <xdr:col>5</xdr:col>
      <xdr:colOff>466724</xdr:colOff>
      <xdr:row>4</xdr:row>
      <xdr:rowOff>82052</xdr:rowOff>
    </xdr:to>
    <xdr:pic>
      <xdr:nvPicPr>
        <xdr:cNvPr id="3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47625"/>
          <a:ext cx="2200275" cy="86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ede.osu.edu/programs/farmmanagement/budgets" TargetMode="External"/><Relationship Id="rId1" Type="http://schemas.openxmlformats.org/officeDocument/2006/relationships/hyperlink" Target="http://aede.osu.edu/resources/docs/pdf/UDSIO6SG-9315-IQAW-X7QLG33KLHMNAZZ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9"/>
  <sheetViews>
    <sheetView tabSelected="1" view="pageBreakPreview" zoomScaleSheetLayoutView="100" workbookViewId="0">
      <selection activeCell="H2" sqref="H2"/>
    </sheetView>
  </sheetViews>
  <sheetFormatPr defaultColWidth="8.85546875" defaultRowHeight="12.75" x14ac:dyDescent="0.2"/>
  <cols>
    <col min="1" max="2" width="2.7109375" customWidth="1"/>
    <col min="4" max="4" width="6.42578125" customWidth="1"/>
    <col min="5" max="5" width="7.42578125" customWidth="1"/>
    <col min="6" max="6" width="8.85546875" customWidth="1"/>
    <col min="7" max="9" width="7.42578125" customWidth="1"/>
    <col min="10" max="10" width="7.28515625" customWidth="1"/>
    <col min="11" max="11" width="8.140625" customWidth="1"/>
    <col min="12" max="12" width="9" style="24" customWidth="1"/>
    <col min="13" max="13" width="8.42578125" style="24" customWidth="1"/>
    <col min="14" max="14" width="8.28515625" style="24" customWidth="1"/>
    <col min="15" max="15" width="0.85546875" customWidth="1"/>
    <col min="16" max="16" width="10" customWidth="1"/>
    <col min="17" max="17" width="9.7109375" customWidth="1"/>
    <col min="18" max="18" width="9.28515625" bestFit="1" customWidth="1"/>
  </cols>
  <sheetData>
    <row r="1" spans="1:18" ht="15.75" x14ac:dyDescent="0.25">
      <c r="A1" s="141"/>
      <c r="B1" s="141"/>
      <c r="C1" s="141"/>
      <c r="D1" s="141"/>
      <c r="E1" s="141"/>
      <c r="F1" s="141"/>
      <c r="G1" s="2"/>
      <c r="H1" s="2"/>
      <c r="I1" s="139"/>
      <c r="J1" s="1"/>
      <c r="K1" s="1"/>
      <c r="L1" s="3"/>
      <c r="M1" s="3"/>
      <c r="N1" s="3"/>
      <c r="O1" s="1"/>
      <c r="P1" s="1"/>
    </row>
    <row r="2" spans="1:18" s="137" customFormat="1" ht="15.75" x14ac:dyDescent="0.25">
      <c r="A2" s="141"/>
      <c r="B2" s="141"/>
      <c r="C2" s="141"/>
      <c r="D2" s="141"/>
      <c r="E2" s="141"/>
      <c r="F2" s="141"/>
      <c r="G2" s="2"/>
      <c r="H2" s="146"/>
      <c r="I2" s="146"/>
      <c r="J2" s="146"/>
      <c r="K2" s="146" t="s">
        <v>145</v>
      </c>
      <c r="L2" s="146"/>
      <c r="M2" s="146"/>
      <c r="N2" s="146"/>
      <c r="O2" s="1"/>
      <c r="P2" s="1"/>
    </row>
    <row r="3" spans="1:18" s="137" customFormat="1" ht="18.75" x14ac:dyDescent="0.25">
      <c r="A3" s="141"/>
      <c r="B3" s="141"/>
      <c r="C3" s="141"/>
      <c r="D3" s="141"/>
      <c r="E3" s="141"/>
      <c r="F3" s="141"/>
      <c r="G3" s="2"/>
      <c r="H3" s="146"/>
      <c r="I3" s="146"/>
      <c r="J3" s="146"/>
      <c r="K3" s="146" t="s">
        <v>137</v>
      </c>
      <c r="L3" s="146"/>
      <c r="M3" s="146"/>
      <c r="N3" s="146"/>
      <c r="O3" s="1"/>
      <c r="P3" s="1"/>
    </row>
    <row r="4" spans="1:18" s="137" customFormat="1" ht="15" x14ac:dyDescent="0.25">
      <c r="A4" s="141"/>
      <c r="B4" s="141"/>
      <c r="C4" s="141"/>
      <c r="D4" s="141"/>
      <c r="E4" s="141"/>
      <c r="F4" s="141"/>
      <c r="G4" s="2"/>
      <c r="H4" s="2"/>
      <c r="I4" s="1"/>
      <c r="J4" s="138"/>
      <c r="K4" s="1"/>
      <c r="L4" s="3"/>
      <c r="M4" s="3"/>
      <c r="N4" s="3"/>
      <c r="O4" s="1"/>
      <c r="P4" s="1"/>
    </row>
    <row r="5" spans="1:18" s="137" customFormat="1" x14ac:dyDescent="0.2">
      <c r="A5" s="141"/>
      <c r="B5" s="141"/>
      <c r="C5" s="141"/>
      <c r="D5" s="141"/>
      <c r="E5" s="141"/>
      <c r="F5" s="141"/>
      <c r="G5" s="2"/>
      <c r="H5" s="2"/>
      <c r="I5" s="1"/>
      <c r="J5" s="1"/>
      <c r="K5" s="1"/>
      <c r="L5" s="3"/>
      <c r="M5" s="3" t="s">
        <v>77</v>
      </c>
      <c r="N5" s="3"/>
      <c r="O5" s="1"/>
      <c r="P5" s="140">
        <v>42573</v>
      </c>
    </row>
    <row r="6" spans="1:18" ht="14.25" x14ac:dyDescent="0.2">
      <c r="A6" s="155" t="s">
        <v>0</v>
      </c>
      <c r="B6" s="155"/>
      <c r="C6" s="155"/>
      <c r="D6" s="5"/>
      <c r="E6" s="5"/>
      <c r="F6" s="155" t="s">
        <v>1</v>
      </c>
      <c r="G6" s="155"/>
      <c r="H6" s="4" t="s">
        <v>3</v>
      </c>
      <c r="I6" s="155" t="s">
        <v>2</v>
      </c>
      <c r="J6" s="155"/>
      <c r="K6" s="4"/>
      <c r="L6" s="153" t="s">
        <v>37</v>
      </c>
      <c r="M6" s="153"/>
      <c r="N6" s="153"/>
      <c r="O6" s="6"/>
      <c r="P6" s="4" t="s">
        <v>3</v>
      </c>
    </row>
    <row r="7" spans="1:18" ht="14.25" x14ac:dyDescent="0.2">
      <c r="A7" s="7"/>
      <c r="B7" s="7"/>
      <c r="C7" s="7"/>
      <c r="D7" s="7"/>
      <c r="E7" s="7"/>
      <c r="F7" s="7"/>
      <c r="G7" s="7"/>
      <c r="H7" s="8" t="s">
        <v>72</v>
      </c>
      <c r="I7" s="156" t="s">
        <v>4</v>
      </c>
      <c r="J7" s="156"/>
      <c r="K7" s="8" t="s">
        <v>69</v>
      </c>
      <c r="L7" s="157" t="s">
        <v>59</v>
      </c>
      <c r="M7" s="157"/>
      <c r="N7" s="157"/>
      <c r="O7" s="9"/>
      <c r="P7" s="8" t="s">
        <v>5</v>
      </c>
    </row>
    <row r="8" spans="1:18" x14ac:dyDescent="0.2">
      <c r="A8" s="10"/>
      <c r="B8" s="10"/>
      <c r="C8" s="10"/>
      <c r="D8" s="10"/>
      <c r="E8" s="10"/>
      <c r="F8" s="10"/>
      <c r="G8" s="10"/>
      <c r="H8" s="98" t="s">
        <v>73</v>
      </c>
      <c r="I8" s="10"/>
      <c r="J8" s="10"/>
      <c r="K8" s="18">
        <v>2.5</v>
      </c>
      <c r="L8" s="11">
        <v>4</v>
      </c>
      <c r="M8" s="11">
        <v>6</v>
      </c>
      <c r="N8" s="11">
        <v>8</v>
      </c>
      <c r="O8" s="10"/>
      <c r="P8" s="88">
        <v>8</v>
      </c>
    </row>
    <row r="9" spans="1:18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2"/>
      <c r="M9" s="12"/>
      <c r="N9" s="12"/>
      <c r="O9" s="1"/>
      <c r="P9" s="1"/>
    </row>
    <row r="10" spans="1:18" ht="14.25" x14ac:dyDescent="0.2">
      <c r="A10" s="13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1"/>
      <c r="P10" s="1"/>
    </row>
    <row r="11" spans="1:18" x14ac:dyDescent="0.2">
      <c r="A11" s="1"/>
      <c r="B11" s="1" t="s">
        <v>6</v>
      </c>
      <c r="C11" s="1"/>
      <c r="D11" s="1"/>
      <c r="E11" s="1"/>
      <c r="F11" s="93">
        <v>0.6</v>
      </c>
      <c r="G11" s="1" t="s">
        <v>7</v>
      </c>
      <c r="H11" s="1"/>
      <c r="I11" s="94">
        <v>180</v>
      </c>
      <c r="J11" s="1" t="s">
        <v>8</v>
      </c>
      <c r="K11" s="66">
        <f>+K8*$F$11*$I$11</f>
        <v>270</v>
      </c>
      <c r="L11" s="66">
        <f>+L8*$F$11*$I$11</f>
        <v>432</v>
      </c>
      <c r="M11" s="66">
        <f>+M8*$F$11*$I$11</f>
        <v>647.99999999999989</v>
      </c>
      <c r="N11" s="66">
        <f>+N8*$F$11*$I$11</f>
        <v>864</v>
      </c>
      <c r="O11" s="1"/>
      <c r="P11" s="89">
        <f>+P8*$F$11*$I$11</f>
        <v>864</v>
      </c>
    </row>
    <row r="12" spans="1:18" x14ac:dyDescent="0.2">
      <c r="A12" s="1"/>
      <c r="B12" s="145" t="s">
        <v>136</v>
      </c>
      <c r="C12" s="1"/>
      <c r="D12" s="1"/>
      <c r="E12" s="1"/>
      <c r="F12" s="93">
        <v>0.4</v>
      </c>
      <c r="G12" s="1" t="s">
        <v>7</v>
      </c>
      <c r="H12" s="1"/>
      <c r="I12" s="94">
        <v>140</v>
      </c>
      <c r="J12" s="1" t="s">
        <v>8</v>
      </c>
      <c r="K12" s="67">
        <f>+K8*$I$12*$F$12</f>
        <v>140</v>
      </c>
      <c r="L12" s="67">
        <f>+L8*$I$12*$F$12</f>
        <v>224</v>
      </c>
      <c r="M12" s="67">
        <f>+M8*$I$12*$F$12</f>
        <v>336</v>
      </c>
      <c r="N12" s="67">
        <f>+N8*$I$12*$F$12</f>
        <v>448</v>
      </c>
      <c r="O12" s="1"/>
      <c r="P12" s="90">
        <f>+P8*$I$12*$F$12</f>
        <v>448</v>
      </c>
    </row>
    <row r="13" spans="1:18" x14ac:dyDescent="0.2">
      <c r="A13" s="1"/>
      <c r="B13" s="1" t="s">
        <v>9</v>
      </c>
      <c r="C13" s="1"/>
      <c r="D13" s="1"/>
      <c r="E13" s="1"/>
      <c r="F13" s="1"/>
      <c r="G13" s="1"/>
      <c r="H13" s="1"/>
      <c r="I13" s="14"/>
      <c r="J13" s="1"/>
      <c r="K13" s="66">
        <f>+K11+K12</f>
        <v>410</v>
      </c>
      <c r="L13" s="66">
        <f>+L11+L12</f>
        <v>656</v>
      </c>
      <c r="M13" s="66">
        <f>+M11+M12</f>
        <v>983.99999999999989</v>
      </c>
      <c r="N13" s="66">
        <f>+N11+N12</f>
        <v>1312</v>
      </c>
      <c r="O13" s="1"/>
      <c r="P13" s="89">
        <f>+P11+P12</f>
        <v>1312</v>
      </c>
      <c r="R13" s="10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66"/>
      <c r="L14" s="66"/>
      <c r="M14" s="66"/>
      <c r="N14" s="66"/>
      <c r="O14" s="1"/>
      <c r="P14" s="66"/>
    </row>
    <row r="15" spans="1:18" x14ac:dyDescent="0.2">
      <c r="A15" s="13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66"/>
      <c r="L15" s="66"/>
      <c r="M15" s="66"/>
      <c r="N15" s="66"/>
      <c r="O15" s="1"/>
      <c r="P15" s="66"/>
    </row>
    <row r="16" spans="1:18" ht="14.25" x14ac:dyDescent="0.2">
      <c r="A16" s="1"/>
      <c r="B16" s="1" t="s">
        <v>39</v>
      </c>
      <c r="C16" s="1"/>
      <c r="D16" s="1"/>
      <c r="E16" s="1"/>
      <c r="F16" s="95">
        <v>15</v>
      </c>
      <c r="G16" s="1" t="s">
        <v>11</v>
      </c>
      <c r="H16" s="1"/>
      <c r="I16" s="125">
        <v>5.75</v>
      </c>
      <c r="J16" s="1" t="s">
        <v>12</v>
      </c>
      <c r="K16" s="66">
        <f>($F$16*$I$16)/4</f>
        <v>21.5625</v>
      </c>
      <c r="L16" s="66">
        <f>($F$16*$I$16)/4</f>
        <v>21.5625</v>
      </c>
      <c r="M16" s="66">
        <f>($F$16*$I$16)/4</f>
        <v>21.5625</v>
      </c>
      <c r="N16" s="66">
        <f>($F$16*$I$16)/4</f>
        <v>21.5625</v>
      </c>
      <c r="O16" s="1"/>
      <c r="P16" s="89">
        <f>($F$16*$I$16)/4</f>
        <v>21.5625</v>
      </c>
      <c r="Q16" s="100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66"/>
      <c r="L17" s="66"/>
      <c r="M17" s="66"/>
      <c r="N17" s="66"/>
      <c r="O17" s="1"/>
      <c r="P17" s="91"/>
    </row>
    <row r="18" spans="1:17" ht="14.25" x14ac:dyDescent="0.2">
      <c r="A18" s="1"/>
      <c r="B18" s="1" t="s">
        <v>40</v>
      </c>
      <c r="C18" s="1"/>
      <c r="D18" s="1"/>
      <c r="E18" s="1"/>
      <c r="F18" s="1"/>
      <c r="G18" s="1"/>
      <c r="H18" s="1"/>
      <c r="I18" s="1"/>
      <c r="J18" s="1"/>
      <c r="K18" s="66"/>
      <c r="L18" s="66"/>
      <c r="M18" s="66"/>
      <c r="N18" s="66"/>
      <c r="O18" s="1"/>
      <c r="P18" s="91"/>
    </row>
    <row r="19" spans="1:17" ht="15.75" x14ac:dyDescent="0.3">
      <c r="A19" s="1"/>
      <c r="B19" s="1"/>
      <c r="C19" s="1" t="s">
        <v>41</v>
      </c>
      <c r="D19" s="1"/>
      <c r="E19" s="1">
        <v>50</v>
      </c>
      <c r="F19" s="1">
        <v>85</v>
      </c>
      <c r="G19" s="1">
        <v>110</v>
      </c>
      <c r="H19" s="95">
        <v>110</v>
      </c>
      <c r="I19" s="135">
        <f>F68/1040</f>
        <v>0.46153846153846156</v>
      </c>
      <c r="J19" s="1" t="s">
        <v>12</v>
      </c>
      <c r="K19" s="66">
        <f>+$I$19*E19</f>
        <v>23.076923076923077</v>
      </c>
      <c r="L19" s="66">
        <f>+$I$19*E19</f>
        <v>23.076923076923077</v>
      </c>
      <c r="M19" s="66">
        <f>+$I$19*F19</f>
        <v>39.230769230769234</v>
      </c>
      <c r="N19" s="66">
        <f>+$I$19*G19</f>
        <v>50.769230769230774</v>
      </c>
      <c r="O19" s="1"/>
      <c r="P19" s="89">
        <f>+$I$19*H19</f>
        <v>50.769230769230774</v>
      </c>
    </row>
    <row r="20" spans="1:17" ht="15.75" x14ac:dyDescent="0.3">
      <c r="A20" s="1"/>
      <c r="B20" s="1"/>
      <c r="C20" s="1" t="s">
        <v>42</v>
      </c>
      <c r="D20" s="1"/>
      <c r="E20" s="1">
        <v>220</v>
      </c>
      <c r="F20" s="1">
        <v>300</v>
      </c>
      <c r="G20" s="1">
        <v>300</v>
      </c>
      <c r="H20" s="95">
        <v>300</v>
      </c>
      <c r="I20" s="135">
        <f>J68/1200</f>
        <v>0.27500000000000002</v>
      </c>
      <c r="J20" s="1" t="s">
        <v>12</v>
      </c>
      <c r="K20" s="66">
        <f>+$I$20*E20</f>
        <v>60.500000000000007</v>
      </c>
      <c r="L20" s="66">
        <f>+$I$20*E20</f>
        <v>60.500000000000007</v>
      </c>
      <c r="M20" s="66">
        <f>+$I$20*F20</f>
        <v>82.5</v>
      </c>
      <c r="N20" s="66">
        <f>+$I$20*G20</f>
        <v>82.5</v>
      </c>
      <c r="O20" s="1"/>
      <c r="P20" s="89">
        <f>+$I$20*H20</f>
        <v>82.5</v>
      </c>
    </row>
    <row r="21" spans="1:17" x14ac:dyDescent="0.2">
      <c r="A21" s="1"/>
      <c r="B21" s="1" t="s">
        <v>13</v>
      </c>
      <c r="C21" s="1"/>
      <c r="D21" s="1"/>
      <c r="E21" s="1"/>
      <c r="F21" s="95">
        <v>0.5</v>
      </c>
      <c r="G21" s="1"/>
      <c r="H21" s="1"/>
      <c r="I21" s="125">
        <v>25</v>
      </c>
      <c r="J21" s="1" t="s">
        <v>8</v>
      </c>
      <c r="K21" s="66">
        <f>+$F$21*$I$21</f>
        <v>12.5</v>
      </c>
      <c r="L21" s="66">
        <f>+$F$21*$I$21</f>
        <v>12.5</v>
      </c>
      <c r="M21" s="66">
        <f>+$F$21*$I$21</f>
        <v>12.5</v>
      </c>
      <c r="N21" s="66">
        <f>+$F$21*$I$21</f>
        <v>12.5</v>
      </c>
      <c r="O21" s="1"/>
      <c r="P21" s="89">
        <f>+$F$21*$I$21</f>
        <v>12.5</v>
      </c>
    </row>
    <row r="22" spans="1:17" ht="14.25" x14ac:dyDescent="0.2">
      <c r="A22" s="1"/>
      <c r="B22" s="1" t="s">
        <v>43</v>
      </c>
      <c r="C22" s="1"/>
      <c r="D22" s="1"/>
      <c r="E22" s="1"/>
      <c r="F22" s="1"/>
      <c r="G22" s="1"/>
      <c r="H22" s="1"/>
      <c r="I22" s="1"/>
      <c r="J22" s="1"/>
      <c r="K22" s="66">
        <v>20.61</v>
      </c>
      <c r="L22" s="66">
        <v>8.8000000000000007</v>
      </c>
      <c r="M22" s="66">
        <v>8.8000000000000007</v>
      </c>
      <c r="N22" s="66">
        <v>8.8000000000000007</v>
      </c>
      <c r="O22" s="66"/>
      <c r="P22" s="133">
        <v>8.8000000000000007</v>
      </c>
      <c r="Q22" s="100"/>
    </row>
    <row r="23" spans="1:17" ht="14.25" x14ac:dyDescent="0.2">
      <c r="A23" s="1"/>
      <c r="B23" s="1" t="s">
        <v>44</v>
      </c>
      <c r="C23" s="1"/>
      <c r="D23" s="1"/>
      <c r="E23" s="1"/>
      <c r="F23" s="1"/>
      <c r="G23" s="1"/>
      <c r="H23" s="1"/>
      <c r="I23" s="1"/>
      <c r="J23" s="1"/>
      <c r="K23" s="66">
        <f>0.5*(+$L$108)</f>
        <v>4.0155500000000002</v>
      </c>
      <c r="L23" s="66">
        <f>+$L$108</f>
        <v>8.0311000000000003</v>
      </c>
      <c r="M23" s="66">
        <f>+$L$108</f>
        <v>8.0311000000000003</v>
      </c>
      <c r="N23" s="66">
        <f>+$L$108</f>
        <v>8.0311000000000003</v>
      </c>
      <c r="O23" s="1"/>
      <c r="P23" s="89">
        <f>+$L$108</f>
        <v>8.0311000000000003</v>
      </c>
    </row>
    <row r="24" spans="1:17" ht="14.25" x14ac:dyDescent="0.2">
      <c r="A24" s="1"/>
      <c r="B24" s="1" t="s">
        <v>45</v>
      </c>
      <c r="C24" s="1"/>
      <c r="D24" s="1"/>
      <c r="E24" s="1"/>
      <c r="F24" s="1"/>
      <c r="G24" s="1"/>
      <c r="H24" s="1"/>
      <c r="I24" s="1"/>
      <c r="J24" s="1"/>
      <c r="K24" s="66">
        <f>0.5*($N$108)</f>
        <v>10.708331973331708</v>
      </c>
      <c r="L24" s="66">
        <f>$N$108</f>
        <v>21.416663946663416</v>
      </c>
      <c r="M24" s="66">
        <f>$N$108</f>
        <v>21.416663946663416</v>
      </c>
      <c r="N24" s="66">
        <f>$N$108</f>
        <v>21.416663946663416</v>
      </c>
      <c r="O24" s="66"/>
      <c r="P24" s="89">
        <f>$N$108</f>
        <v>21.416663946663416</v>
      </c>
    </row>
    <row r="25" spans="1:17" ht="14.25" x14ac:dyDescent="0.2">
      <c r="A25" s="1"/>
      <c r="B25" s="1" t="s">
        <v>46</v>
      </c>
      <c r="C25" s="1"/>
      <c r="D25" s="1"/>
      <c r="E25" s="1"/>
      <c r="F25" s="1"/>
      <c r="G25" s="1"/>
      <c r="H25" s="1"/>
      <c r="I25" s="1"/>
      <c r="J25" s="1"/>
      <c r="K25" s="66">
        <v>16</v>
      </c>
      <c r="L25" s="66">
        <v>16</v>
      </c>
      <c r="M25" s="66">
        <v>17</v>
      </c>
      <c r="N25" s="66">
        <v>18</v>
      </c>
      <c r="O25" s="1"/>
      <c r="P25" s="97">
        <v>18</v>
      </c>
    </row>
    <row r="26" spans="1:17" ht="14.25" x14ac:dyDescent="0.2">
      <c r="A26" s="1"/>
      <c r="B26" s="1" t="s">
        <v>126</v>
      </c>
      <c r="C26" s="1"/>
      <c r="D26" s="1"/>
      <c r="E26" s="1"/>
      <c r="F26" s="95">
        <v>6</v>
      </c>
      <c r="G26" s="1" t="s">
        <v>14</v>
      </c>
      <c r="H26" s="1"/>
      <c r="I26" s="96">
        <v>4.4999999999999998E-2</v>
      </c>
      <c r="J26" s="1"/>
      <c r="K26" s="66">
        <f>SUM(K16:K25)*I26*(F26/12)</f>
        <v>3.8018993636307328</v>
      </c>
      <c r="L26" s="66">
        <f>SUM(L16:L25)*I26*(F26/12)</f>
        <v>3.8674617080306963</v>
      </c>
      <c r="M26" s="66">
        <f>SUM(M16:M25)*I26*(F26/12)</f>
        <v>4.7484232464922345</v>
      </c>
      <c r="N26" s="66">
        <f>SUM(N16:N25)*I26*(F26/12)</f>
        <v>5.0305386311076195</v>
      </c>
      <c r="O26" s="1"/>
      <c r="P26" s="89">
        <f>SUM(P16:P25)*I26*(F26/12)</f>
        <v>5.0305386311076195</v>
      </c>
    </row>
    <row r="27" spans="1:17" ht="14.25" x14ac:dyDescent="0.2">
      <c r="A27" s="1"/>
      <c r="B27" s="1" t="s">
        <v>62</v>
      </c>
      <c r="C27" s="1"/>
      <c r="D27" s="1"/>
      <c r="E27" s="1"/>
      <c r="F27" s="1"/>
      <c r="G27" s="1"/>
      <c r="H27" s="1"/>
      <c r="I27" s="15"/>
      <c r="J27" s="1"/>
      <c r="K27" s="66">
        <v>14</v>
      </c>
      <c r="L27" s="66">
        <v>14</v>
      </c>
      <c r="M27" s="66">
        <v>14</v>
      </c>
      <c r="N27" s="66">
        <v>14</v>
      </c>
      <c r="O27" s="66"/>
      <c r="P27" s="97">
        <v>14</v>
      </c>
    </row>
    <row r="28" spans="1:17" ht="14.25" x14ac:dyDescent="0.2">
      <c r="A28" s="1"/>
      <c r="B28" s="1" t="s">
        <v>104</v>
      </c>
      <c r="C28" s="1"/>
      <c r="D28" s="1"/>
      <c r="E28" s="1"/>
      <c r="F28" s="130">
        <v>2.25</v>
      </c>
      <c r="G28" s="129" t="s">
        <v>106</v>
      </c>
      <c r="H28" s="1"/>
      <c r="I28" s="131">
        <v>20</v>
      </c>
      <c r="J28" s="1" t="s">
        <v>107</v>
      </c>
      <c r="K28" s="3">
        <f>(((($I$28/6)*$F$28)/3.5)*K8)+(((($I$28/6)*$F$28)/3.5)*K8)*0.1</f>
        <v>5.8928571428571423</v>
      </c>
      <c r="L28" s="3">
        <f>(((($I$28/6)*$F$28)/3.5)*L8)+(((($I$28/6)*$F$28)/3.5)*L8)*0.1</f>
        <v>9.4285714285714288</v>
      </c>
      <c r="M28" s="3">
        <f>(((($I$28/6)*$F$28)/3.5)*M8)+(((($I$28/6)*$F$28)/3.5)*M8)*0.1</f>
        <v>14.142857142857144</v>
      </c>
      <c r="N28" s="3">
        <f>(((($I$28/6)*$F$28)/3.5)*N8)+(((($I$28/6)*$F$28)/3.5)*N8)*0.1</f>
        <v>18.857142857142858</v>
      </c>
      <c r="O28" s="3"/>
      <c r="P28" s="132">
        <f>(((($I$28/6)*$F$28)/3.5)*P8)+(((($I$28/6)*$F$28)/3.5)*P8)*0.1</f>
        <v>18.857142857142858</v>
      </c>
    </row>
    <row r="29" spans="1:17" ht="14.25" x14ac:dyDescent="0.2">
      <c r="A29" s="1"/>
      <c r="B29" s="1" t="s">
        <v>63</v>
      </c>
      <c r="C29" s="1"/>
      <c r="D29" s="1"/>
      <c r="E29" s="1"/>
      <c r="F29" s="1"/>
      <c r="G29" s="1"/>
      <c r="H29" s="1"/>
      <c r="I29" s="1"/>
      <c r="J29" s="1"/>
      <c r="K29" s="66">
        <v>20</v>
      </c>
      <c r="L29" s="66">
        <v>20</v>
      </c>
      <c r="M29" s="66">
        <v>20</v>
      </c>
      <c r="N29" s="66">
        <v>20</v>
      </c>
      <c r="O29" s="66"/>
      <c r="P29" s="97">
        <v>20</v>
      </c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66"/>
      <c r="L30" s="68"/>
      <c r="M30" s="68"/>
      <c r="N30" s="68"/>
      <c r="O30" s="16"/>
      <c r="P30" s="92"/>
    </row>
    <row r="31" spans="1:17" x14ac:dyDescent="0.2">
      <c r="A31" s="13" t="s">
        <v>15</v>
      </c>
      <c r="B31" s="1"/>
      <c r="C31" s="1"/>
      <c r="D31" s="1"/>
      <c r="E31" s="1"/>
      <c r="F31" s="17" t="s">
        <v>16</v>
      </c>
      <c r="G31" s="1"/>
      <c r="H31" s="1"/>
      <c r="I31" s="1"/>
      <c r="J31" s="1"/>
      <c r="K31" s="69">
        <f>SUM(K16:K30)</f>
        <v>212.66806155674266</v>
      </c>
      <c r="L31" s="66">
        <f>SUM(L16:L30)</f>
        <v>219.18322016018863</v>
      </c>
      <c r="M31" s="66">
        <f>SUM(M16:M30)</f>
        <v>263.932313566782</v>
      </c>
      <c r="N31" s="66">
        <f>SUM(N16:N30)</f>
        <v>281.46717620414466</v>
      </c>
      <c r="O31" s="1"/>
      <c r="P31" s="89">
        <f>SUM(P16:P30)</f>
        <v>281.46717620414466</v>
      </c>
    </row>
    <row r="32" spans="1:17" x14ac:dyDescent="0.2">
      <c r="A32" s="1"/>
      <c r="B32" s="1"/>
      <c r="C32" s="1"/>
      <c r="D32" s="1"/>
      <c r="E32" s="1"/>
      <c r="F32" s="17" t="s">
        <v>17</v>
      </c>
      <c r="G32" s="1"/>
      <c r="H32" s="1"/>
      <c r="I32" s="1"/>
      <c r="J32" s="1"/>
      <c r="K32" s="66">
        <f>+K31/K8</f>
        <v>85.067224622697069</v>
      </c>
      <c r="L32" s="66">
        <f>+L31/L8</f>
        <v>54.795805040047156</v>
      </c>
      <c r="M32" s="66">
        <f>+M31/M8</f>
        <v>43.988718927797002</v>
      </c>
      <c r="N32" s="66">
        <f>+N31/N8</f>
        <v>35.183397025518083</v>
      </c>
      <c r="O32" s="1"/>
      <c r="P32" s="89">
        <f>+P31/P8</f>
        <v>35.183397025518083</v>
      </c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66"/>
      <c r="L33" s="66"/>
      <c r="M33" s="66"/>
      <c r="N33" s="66"/>
      <c r="O33" s="1"/>
      <c r="P33" s="91"/>
    </row>
    <row r="34" spans="1:16" x14ac:dyDescent="0.2">
      <c r="A34" s="1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66"/>
      <c r="L34" s="66"/>
      <c r="M34" s="66"/>
      <c r="N34" s="66"/>
      <c r="O34" s="1"/>
      <c r="P34" s="91"/>
    </row>
    <row r="35" spans="1:16" ht="14.25" x14ac:dyDescent="0.2">
      <c r="A35" s="1"/>
      <c r="B35" s="1" t="s">
        <v>64</v>
      </c>
      <c r="C35" s="1"/>
      <c r="D35" s="1"/>
      <c r="E35" s="1"/>
      <c r="F35" s="95">
        <v>4</v>
      </c>
      <c r="G35" s="1" t="s">
        <v>19</v>
      </c>
      <c r="H35" s="1"/>
      <c r="I35" s="125">
        <v>15</v>
      </c>
      <c r="J35" s="1" t="s">
        <v>20</v>
      </c>
      <c r="K35" s="66">
        <f>+$I$35*$F$35</f>
        <v>60</v>
      </c>
      <c r="L35" s="66">
        <f>+$I$35*$F$35</f>
        <v>60</v>
      </c>
      <c r="M35" s="66">
        <f>+$I$35*$F$35</f>
        <v>60</v>
      </c>
      <c r="N35" s="66">
        <f>+$I$35*$F$35</f>
        <v>60</v>
      </c>
      <c r="O35" s="1"/>
      <c r="P35" s="89">
        <f>+$I$35*$F$35</f>
        <v>60</v>
      </c>
    </row>
    <row r="36" spans="1:16" x14ac:dyDescent="0.2">
      <c r="A36" s="1"/>
      <c r="B36" s="1" t="s">
        <v>21</v>
      </c>
      <c r="C36" s="1"/>
      <c r="D36" s="1"/>
      <c r="E36" s="1"/>
      <c r="F36" s="93">
        <v>0.05</v>
      </c>
      <c r="G36" s="1" t="s">
        <v>22</v>
      </c>
      <c r="H36" s="1"/>
      <c r="I36" s="1"/>
      <c r="J36" s="1"/>
      <c r="K36" s="66">
        <f>$F$36*K13</f>
        <v>20.5</v>
      </c>
      <c r="L36" s="66">
        <f>$F$36*L13</f>
        <v>32.800000000000004</v>
      </c>
      <c r="M36" s="66">
        <f>$F$36*M13</f>
        <v>49.199999999999996</v>
      </c>
      <c r="N36" s="66">
        <f>$F$36*N13</f>
        <v>65.600000000000009</v>
      </c>
      <c r="O36" s="1"/>
      <c r="P36" s="89">
        <f>$F$36*P13</f>
        <v>65.600000000000009</v>
      </c>
    </row>
    <row r="37" spans="1:16" ht="14.25" x14ac:dyDescent="0.2">
      <c r="A37" s="1"/>
      <c r="B37" s="1" t="s">
        <v>65</v>
      </c>
      <c r="C37" s="1"/>
      <c r="D37" s="1"/>
      <c r="E37" s="1"/>
      <c r="F37" s="1"/>
      <c r="G37" s="1"/>
      <c r="H37" s="1"/>
      <c r="I37" s="1"/>
      <c r="J37" s="1"/>
      <c r="K37" s="66">
        <f>0.5*(+$J$108)</f>
        <v>42.264679687499999</v>
      </c>
      <c r="L37" s="66">
        <f>+$J$108</f>
        <v>84.529359374999999</v>
      </c>
      <c r="M37" s="66">
        <f>+$J$108</f>
        <v>84.529359374999999</v>
      </c>
      <c r="N37" s="66">
        <f>+$J$108</f>
        <v>84.529359374999999</v>
      </c>
      <c r="O37" s="1"/>
      <c r="P37" s="89">
        <f>+$J$108</f>
        <v>84.529359374999999</v>
      </c>
    </row>
    <row r="38" spans="1:16" ht="14.25" x14ac:dyDescent="0.2">
      <c r="A38" s="1"/>
      <c r="B38" s="1" t="s">
        <v>66</v>
      </c>
      <c r="C38" s="1"/>
      <c r="D38" s="1"/>
      <c r="E38" s="1"/>
      <c r="F38" s="1"/>
      <c r="G38" s="1"/>
      <c r="H38" s="1"/>
      <c r="I38" s="1"/>
      <c r="J38" s="1"/>
      <c r="K38" s="66">
        <v>15.6</v>
      </c>
      <c r="L38" s="66">
        <v>15.6</v>
      </c>
      <c r="M38" s="66">
        <v>15.6</v>
      </c>
      <c r="N38" s="66">
        <v>15.6</v>
      </c>
      <c r="O38" s="66">
        <v>14</v>
      </c>
      <c r="P38" s="66">
        <v>15.6</v>
      </c>
    </row>
    <row r="39" spans="1:16" ht="14.25" x14ac:dyDescent="0.2">
      <c r="A39" s="1"/>
      <c r="B39" s="1" t="s">
        <v>67</v>
      </c>
      <c r="C39" s="1"/>
      <c r="D39" s="1"/>
      <c r="E39" s="1"/>
      <c r="F39" s="1"/>
      <c r="G39" s="1"/>
      <c r="H39" s="1"/>
      <c r="I39" s="1"/>
      <c r="J39" s="1"/>
      <c r="K39" s="66">
        <v>187</v>
      </c>
      <c r="L39" s="66">
        <v>141</v>
      </c>
      <c r="M39" s="66">
        <v>187</v>
      </c>
      <c r="N39" s="66">
        <v>239</v>
      </c>
      <c r="O39" s="99">
        <v>239</v>
      </c>
      <c r="P39" s="97">
        <v>239</v>
      </c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66"/>
      <c r="L40" s="68"/>
      <c r="M40" s="68"/>
      <c r="N40" s="68"/>
      <c r="O40" s="16"/>
      <c r="P40" s="92"/>
    </row>
    <row r="41" spans="1:16" x14ac:dyDescent="0.2">
      <c r="A41" s="13" t="s">
        <v>23</v>
      </c>
      <c r="B41" s="1"/>
      <c r="C41" s="1"/>
      <c r="D41" s="1"/>
      <c r="E41" s="1"/>
      <c r="F41" s="1"/>
      <c r="G41" s="1"/>
      <c r="H41" s="1"/>
      <c r="I41" s="1"/>
      <c r="J41" s="1"/>
      <c r="K41" s="69">
        <f>SUM(K35:K40)</f>
        <v>325.36467968750003</v>
      </c>
      <c r="L41" s="66">
        <f>SUM(L35:L40)</f>
        <v>333.92935937499999</v>
      </c>
      <c r="M41" s="66">
        <f>SUM(M35:M40)</f>
        <v>396.32935937499997</v>
      </c>
      <c r="N41" s="66">
        <f>SUM(N35:N40)</f>
        <v>464.729359375</v>
      </c>
      <c r="O41" s="1"/>
      <c r="P41" s="89">
        <f>SUM(P35:P40)</f>
        <v>464.729359375</v>
      </c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66"/>
      <c r="L42" s="66"/>
      <c r="M42" s="66"/>
      <c r="N42" s="66"/>
      <c r="O42" s="1"/>
      <c r="P42" s="91"/>
    </row>
    <row r="43" spans="1:16" x14ac:dyDescent="0.2">
      <c r="A43" s="13" t="s">
        <v>24</v>
      </c>
      <c r="B43" s="1"/>
      <c r="C43" s="1"/>
      <c r="D43" s="1"/>
      <c r="E43" s="1"/>
      <c r="F43" s="17" t="s">
        <v>16</v>
      </c>
      <c r="G43" s="1"/>
      <c r="H43" s="1"/>
      <c r="I43" s="1"/>
      <c r="J43" s="1"/>
      <c r="K43" s="66">
        <f>+K31+K41</f>
        <v>538.03274124424274</v>
      </c>
      <c r="L43" s="66">
        <f>+L31+L41</f>
        <v>553.11257953518862</v>
      </c>
      <c r="M43" s="66">
        <f>+M31+M41</f>
        <v>660.26167294178197</v>
      </c>
      <c r="N43" s="66">
        <f>+N31+N41</f>
        <v>746.19653557914467</v>
      </c>
      <c r="O43" s="1"/>
      <c r="P43" s="89">
        <f>+P31+P41</f>
        <v>746.19653557914467</v>
      </c>
    </row>
    <row r="44" spans="1:16" x14ac:dyDescent="0.2">
      <c r="A44" s="13"/>
      <c r="B44" s="1"/>
      <c r="C44" s="1"/>
      <c r="D44" s="1"/>
      <c r="E44" s="1"/>
      <c r="F44" s="17" t="s">
        <v>17</v>
      </c>
      <c r="G44" s="1"/>
      <c r="H44" s="1"/>
      <c r="I44" s="1"/>
      <c r="J44" s="1"/>
      <c r="K44" s="66">
        <f>+K43/K8</f>
        <v>215.21309649769711</v>
      </c>
      <c r="L44" s="66">
        <f>+L43/L8</f>
        <v>138.27814488379715</v>
      </c>
      <c r="M44" s="66">
        <f>+M43/M8</f>
        <v>110.04361215696366</v>
      </c>
      <c r="N44" s="66">
        <f>+N43/N8</f>
        <v>93.274566947393083</v>
      </c>
      <c r="O44" s="1"/>
      <c r="P44" s="89">
        <f>+P43/P8</f>
        <v>93.274566947393083</v>
      </c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66"/>
      <c r="L45" s="66"/>
      <c r="M45" s="66"/>
      <c r="N45" s="66"/>
      <c r="O45" s="1"/>
      <c r="P45" s="91"/>
    </row>
    <row r="46" spans="1:16" ht="14.25" x14ac:dyDescent="0.2">
      <c r="A46" s="13" t="s">
        <v>127</v>
      </c>
      <c r="B46" s="1"/>
      <c r="C46" s="1"/>
      <c r="D46" s="1"/>
      <c r="E46" s="1"/>
      <c r="F46" s="1"/>
      <c r="G46" s="1"/>
      <c r="H46" s="1"/>
      <c r="I46" s="1"/>
      <c r="J46" s="1"/>
      <c r="K46" s="66">
        <f t="shared" ref="K46:P46" si="0">K49+K35+K36</f>
        <v>-47.532741244242743</v>
      </c>
      <c r="L46" s="66">
        <f t="shared" si="0"/>
        <v>195.6874204648114</v>
      </c>
      <c r="M46" s="66">
        <f t="shared" si="0"/>
        <v>432.93832705821791</v>
      </c>
      <c r="N46" s="66">
        <f t="shared" si="0"/>
        <v>691.40346442085536</v>
      </c>
      <c r="O46" s="66">
        <f t="shared" si="0"/>
        <v>0</v>
      </c>
      <c r="P46" s="66">
        <f t="shared" si="0"/>
        <v>691.40346442085536</v>
      </c>
    </row>
    <row r="47" spans="1:16" x14ac:dyDescent="0.2">
      <c r="A47" s="7" t="s">
        <v>83</v>
      </c>
      <c r="B47" s="9"/>
      <c r="C47" s="9"/>
      <c r="D47" s="1"/>
      <c r="E47" s="1"/>
      <c r="F47" s="1"/>
      <c r="G47" s="1"/>
      <c r="H47" s="1"/>
      <c r="I47" s="1"/>
      <c r="J47" s="1"/>
      <c r="K47" s="66">
        <f t="shared" ref="K47:P47" si="1">+K49+K39</f>
        <v>58.967258755757257</v>
      </c>
      <c r="L47" s="66">
        <f t="shared" si="1"/>
        <v>243.88742046481138</v>
      </c>
      <c r="M47" s="66">
        <f t="shared" si="1"/>
        <v>510.73832705821792</v>
      </c>
      <c r="N47" s="66">
        <f t="shared" si="1"/>
        <v>804.80346442085533</v>
      </c>
      <c r="O47" s="66">
        <f t="shared" si="1"/>
        <v>239</v>
      </c>
      <c r="P47" s="66">
        <f t="shared" si="1"/>
        <v>804.80346442085533</v>
      </c>
    </row>
    <row r="48" spans="1:16" x14ac:dyDescent="0.2">
      <c r="A48" s="13" t="s">
        <v>25</v>
      </c>
      <c r="B48" s="1"/>
      <c r="C48" s="1"/>
      <c r="D48" s="1"/>
      <c r="E48" s="1"/>
      <c r="F48" s="1"/>
      <c r="G48" s="1"/>
      <c r="H48" s="1"/>
      <c r="I48" s="1"/>
      <c r="J48" s="1"/>
      <c r="K48" s="66">
        <f t="shared" ref="K48:P48" si="2">+K13-K31</f>
        <v>197.33193844325734</v>
      </c>
      <c r="L48" s="66">
        <f t="shared" si="2"/>
        <v>436.81677983981137</v>
      </c>
      <c r="M48" s="66">
        <f t="shared" si="2"/>
        <v>720.06768643321789</v>
      </c>
      <c r="N48" s="66">
        <f t="shared" si="2"/>
        <v>1030.5328237958554</v>
      </c>
      <c r="O48" s="66">
        <f t="shared" si="2"/>
        <v>0</v>
      </c>
      <c r="P48" s="66">
        <f t="shared" si="2"/>
        <v>1030.5328237958554</v>
      </c>
    </row>
    <row r="49" spans="1:16" x14ac:dyDescent="0.2">
      <c r="A49" s="7" t="s">
        <v>26</v>
      </c>
      <c r="B49" s="9"/>
      <c r="C49" s="9"/>
      <c r="D49" s="1"/>
      <c r="E49" s="1"/>
      <c r="F49" s="1"/>
      <c r="G49" s="1"/>
      <c r="H49" s="1"/>
      <c r="I49" s="1"/>
      <c r="J49" s="1"/>
      <c r="K49" s="3">
        <f t="shared" ref="K49:P49" si="3">K13-K43</f>
        <v>-128.03274124424274</v>
      </c>
      <c r="L49" s="3">
        <f t="shared" si="3"/>
        <v>102.88742046481138</v>
      </c>
      <c r="M49" s="3">
        <f t="shared" si="3"/>
        <v>323.73832705821792</v>
      </c>
      <c r="N49" s="3">
        <f t="shared" si="3"/>
        <v>565.80346442085533</v>
      </c>
      <c r="O49" s="3">
        <f t="shared" si="3"/>
        <v>0</v>
      </c>
      <c r="P49" s="3">
        <f t="shared" si="3"/>
        <v>565.80346442085533</v>
      </c>
    </row>
    <row r="50" spans="1:16" x14ac:dyDescent="0.2">
      <c r="A50" s="18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9"/>
      <c r="M50" s="19"/>
      <c r="N50" s="19"/>
      <c r="O50" s="10"/>
      <c r="P50" s="10"/>
    </row>
    <row r="51" spans="1:16" ht="14.2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20"/>
      <c r="M51" s="20"/>
      <c r="N51" s="20"/>
      <c r="O51" s="9"/>
      <c r="P51" s="9"/>
    </row>
    <row r="52" spans="1:16" ht="14.25" customHeight="1" x14ac:dyDescent="0.2">
      <c r="A52" s="28" t="s">
        <v>146</v>
      </c>
      <c r="B52" s="28"/>
      <c r="C52" s="9"/>
      <c r="D52" s="149"/>
      <c r="E52" s="9"/>
      <c r="F52" s="9"/>
      <c r="G52" s="9"/>
      <c r="H52" s="9"/>
      <c r="I52" s="9"/>
      <c r="J52" s="9"/>
      <c r="K52" s="9"/>
      <c r="L52" s="20"/>
      <c r="M52" s="20"/>
      <c r="N52" s="20"/>
      <c r="O52" s="9"/>
      <c r="P52" s="9"/>
    </row>
    <row r="53" spans="1:16" ht="14.25" customHeight="1" x14ac:dyDescent="0.2">
      <c r="B53" s="28" t="s">
        <v>80</v>
      </c>
      <c r="C53" s="9"/>
      <c r="D53" s="9"/>
      <c r="E53" s="9"/>
      <c r="F53" s="9"/>
      <c r="G53" s="9"/>
      <c r="H53" s="9"/>
      <c r="I53" s="9"/>
      <c r="J53" s="9"/>
      <c r="K53" s="9"/>
      <c r="L53" s="20"/>
      <c r="M53" s="20"/>
      <c r="N53" s="20"/>
      <c r="O53" s="9"/>
      <c r="P53" s="9"/>
    </row>
    <row r="54" spans="1:16" ht="14.25" customHeight="1" x14ac:dyDescent="0.2">
      <c r="A54" s="28" t="s">
        <v>147</v>
      </c>
      <c r="B54" s="28"/>
      <c r="C54" s="9"/>
      <c r="D54" s="150"/>
      <c r="E54" s="150"/>
      <c r="F54" s="9"/>
      <c r="G54" s="9"/>
      <c r="H54" s="9"/>
      <c r="I54" s="9"/>
      <c r="J54" s="9"/>
      <c r="K54" s="9"/>
      <c r="L54" s="20"/>
      <c r="M54" s="20"/>
      <c r="N54" s="20"/>
      <c r="O54" s="9"/>
      <c r="P54" s="9"/>
    </row>
    <row r="55" spans="1:16" ht="14.25" customHeight="1" x14ac:dyDescent="0.2">
      <c r="A55" s="28"/>
      <c r="B55" s="28" t="s">
        <v>81</v>
      </c>
      <c r="C55" s="9"/>
      <c r="D55" s="9"/>
      <c r="E55" s="9"/>
      <c r="F55" s="9"/>
      <c r="G55" s="9"/>
      <c r="H55" s="9"/>
      <c r="I55" s="9"/>
      <c r="J55" s="9"/>
      <c r="K55" s="9"/>
      <c r="L55" s="20"/>
      <c r="M55" s="20"/>
      <c r="N55" s="20"/>
      <c r="O55" s="9"/>
      <c r="P55" s="9"/>
    </row>
    <row r="56" spans="1:16" ht="14.25" customHeight="1" x14ac:dyDescent="0.2">
      <c r="A56" s="28" t="s">
        <v>82</v>
      </c>
      <c r="B56" s="28"/>
      <c r="C56" s="9"/>
      <c r="D56" s="151"/>
      <c r="E56" s="9"/>
      <c r="F56" s="9"/>
      <c r="G56" s="9"/>
      <c r="H56" s="9"/>
      <c r="I56" s="9"/>
      <c r="J56" s="9"/>
      <c r="K56" s="9"/>
      <c r="L56" s="20"/>
      <c r="M56" s="20"/>
      <c r="N56" s="20"/>
      <c r="O56" s="9"/>
      <c r="P56" s="9"/>
    </row>
    <row r="57" spans="1:16" ht="14.25" x14ac:dyDescent="0.2">
      <c r="A57" s="21">
        <v>1</v>
      </c>
      <c r="B57" s="1" t="s">
        <v>124</v>
      </c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3"/>
      <c r="O57" s="1"/>
      <c r="P57" s="1"/>
    </row>
    <row r="58" spans="1:16" ht="14.25" x14ac:dyDescent="0.2">
      <c r="A58" s="21"/>
      <c r="B58" s="1"/>
      <c r="C58" s="1" t="s">
        <v>116</v>
      </c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  <c r="O58" s="1"/>
      <c r="P58" s="1"/>
    </row>
    <row r="59" spans="1:16" ht="14.25" x14ac:dyDescent="0.2">
      <c r="A59" s="21">
        <v>2</v>
      </c>
      <c r="B59" s="1" t="s">
        <v>60</v>
      </c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  <c r="O59" s="1"/>
      <c r="P59" s="1"/>
    </row>
    <row r="60" spans="1:16" x14ac:dyDescent="0.2">
      <c r="A60" s="1"/>
      <c r="C60" s="1" t="s">
        <v>109</v>
      </c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1"/>
      <c r="P60" s="1"/>
    </row>
    <row r="61" spans="1:16" ht="14.25" x14ac:dyDescent="0.2">
      <c r="A61" s="21">
        <v>3</v>
      </c>
      <c r="B61" s="1" t="s">
        <v>98</v>
      </c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  <c r="O61" s="1"/>
      <c r="P61" s="1"/>
    </row>
    <row r="62" spans="1:16" ht="14.25" x14ac:dyDescent="0.2">
      <c r="A62" s="21"/>
      <c r="B62" s="1"/>
      <c r="C62" s="145" t="s">
        <v>138</v>
      </c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1"/>
      <c r="P62" s="1"/>
    </row>
    <row r="63" spans="1:16" ht="14.25" x14ac:dyDescent="0.2">
      <c r="A63" s="21"/>
      <c r="B63" s="1"/>
      <c r="C63" s="1" t="s">
        <v>27</v>
      </c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  <c r="O63" s="1"/>
      <c r="P63" s="1"/>
    </row>
    <row r="64" spans="1:16" ht="14.25" x14ac:dyDescent="0.2">
      <c r="A64" s="21">
        <v>4</v>
      </c>
      <c r="B64" s="1" t="s">
        <v>125</v>
      </c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1"/>
      <c r="P64" s="1"/>
    </row>
    <row r="65" spans="1:16" ht="14.25" x14ac:dyDescent="0.2">
      <c r="A65" s="21">
        <v>5</v>
      </c>
      <c r="B65" s="1" t="s">
        <v>28</v>
      </c>
      <c r="C65" s="1"/>
      <c r="D65" s="1"/>
      <c r="E65" s="1"/>
      <c r="F65" s="1"/>
      <c r="G65" s="1"/>
      <c r="H65" s="1"/>
      <c r="I65" s="1"/>
      <c r="J65" s="1"/>
      <c r="K65" s="1"/>
      <c r="L65" s="3"/>
      <c r="M65" s="3"/>
      <c r="N65" s="3"/>
      <c r="O65" s="1"/>
      <c r="P65" s="1"/>
    </row>
    <row r="66" spans="1:16" x14ac:dyDescent="0.2">
      <c r="A66" s="1"/>
      <c r="C66" s="1" t="s">
        <v>70</v>
      </c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  <c r="O66" s="1"/>
      <c r="P66" s="1"/>
    </row>
    <row r="67" spans="1:16" x14ac:dyDescent="0.2">
      <c r="A67" s="1"/>
      <c r="C67" s="1" t="s">
        <v>29</v>
      </c>
      <c r="D67" s="1"/>
      <c r="E67" s="1"/>
      <c r="F67" s="1"/>
      <c r="G67" s="1"/>
      <c r="H67" s="1"/>
      <c r="I67" s="1"/>
      <c r="J67" s="1"/>
      <c r="K67" s="1"/>
      <c r="L67" s="3"/>
      <c r="M67" s="3"/>
      <c r="N67" s="3"/>
      <c r="O67" s="1"/>
      <c r="P67" s="1"/>
    </row>
    <row r="68" spans="1:16" x14ac:dyDescent="0.2">
      <c r="A68" s="1"/>
      <c r="C68" s="28" t="s">
        <v>74</v>
      </c>
      <c r="D68" s="28"/>
      <c r="E68" s="28"/>
      <c r="F68" s="126">
        <v>480</v>
      </c>
      <c r="G68" s="101" t="s">
        <v>8</v>
      </c>
      <c r="H68" s="28" t="s">
        <v>75</v>
      </c>
      <c r="I68" s="85"/>
      <c r="J68" s="127">
        <v>330</v>
      </c>
      <c r="K68" s="101" t="s">
        <v>8</v>
      </c>
      <c r="L68" s="3"/>
      <c r="M68" s="3"/>
      <c r="N68" s="3"/>
      <c r="O68" s="1"/>
      <c r="P68" s="1"/>
    </row>
    <row r="69" spans="1:16" x14ac:dyDescent="0.2">
      <c r="A69" s="1"/>
      <c r="C69" s="1" t="s">
        <v>99</v>
      </c>
      <c r="D69" s="1"/>
      <c r="E69" s="1"/>
      <c r="F69" s="1"/>
      <c r="G69" s="1"/>
      <c r="H69" s="1"/>
      <c r="I69" s="1"/>
      <c r="J69" s="1"/>
      <c r="K69" s="1"/>
      <c r="L69" s="3"/>
      <c r="M69" s="3"/>
      <c r="N69" s="3"/>
      <c r="O69" s="1"/>
      <c r="P69" s="1"/>
    </row>
    <row r="70" spans="1:16" x14ac:dyDescent="0.2">
      <c r="A70" s="1"/>
      <c r="C70" s="1" t="s">
        <v>71</v>
      </c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1"/>
      <c r="P70" s="1"/>
    </row>
    <row r="71" spans="1:16" ht="14.25" x14ac:dyDescent="0.2">
      <c r="A71" s="21">
        <v>6</v>
      </c>
      <c r="B71" s="145" t="s">
        <v>148</v>
      </c>
      <c r="C71" s="1"/>
      <c r="D71" s="1"/>
      <c r="E71" s="1"/>
      <c r="F71" s="1"/>
      <c r="G71" s="1"/>
      <c r="H71" s="1"/>
      <c r="I71" s="1"/>
      <c r="J71" s="1"/>
      <c r="K71" s="1"/>
      <c r="L71" s="3"/>
      <c r="M71" s="3"/>
      <c r="N71" s="3"/>
      <c r="O71" s="1"/>
      <c r="P71" s="1"/>
    </row>
    <row r="72" spans="1:16" ht="14.25" x14ac:dyDescent="0.2">
      <c r="A72" s="21"/>
      <c r="B72" s="1" t="s">
        <v>118</v>
      </c>
      <c r="C72" s="1"/>
      <c r="D72" s="1"/>
      <c r="E72" s="1"/>
      <c r="F72" s="1"/>
      <c r="G72" s="1"/>
      <c r="H72" s="1"/>
      <c r="I72" s="1"/>
      <c r="J72" s="1"/>
      <c r="K72" s="1"/>
      <c r="L72" s="3"/>
      <c r="M72" s="3"/>
      <c r="N72" s="3"/>
      <c r="O72" s="1"/>
      <c r="P72" s="1"/>
    </row>
    <row r="73" spans="1:16" ht="14.25" x14ac:dyDescent="0.2">
      <c r="A73" s="21"/>
      <c r="B73" s="1" t="s">
        <v>119</v>
      </c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3"/>
      <c r="O73" s="1"/>
      <c r="P73" s="1"/>
    </row>
    <row r="74" spans="1:16" x14ac:dyDescent="0.2">
      <c r="A74" s="1"/>
      <c r="B74" s="1" t="s">
        <v>120</v>
      </c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3"/>
      <c r="O74" s="1"/>
      <c r="P74" s="1"/>
    </row>
    <row r="75" spans="1:16" x14ac:dyDescent="0.2">
      <c r="A75" s="1"/>
      <c r="B75" s="1" t="s">
        <v>121</v>
      </c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3"/>
      <c r="O75" s="1"/>
      <c r="P75" s="1"/>
    </row>
    <row r="76" spans="1:16" ht="14.25" x14ac:dyDescent="0.2">
      <c r="A76" s="21">
        <v>7</v>
      </c>
      <c r="B76" s="1" t="s">
        <v>61</v>
      </c>
      <c r="L76" s="22"/>
      <c r="M76" s="22"/>
      <c r="N76" s="22"/>
    </row>
    <row r="77" spans="1:16" ht="14.25" x14ac:dyDescent="0.2">
      <c r="A77" s="21">
        <v>8</v>
      </c>
      <c r="B77" s="1" t="s">
        <v>30</v>
      </c>
      <c r="L77" s="22"/>
      <c r="M77" s="22"/>
      <c r="N77" s="22"/>
    </row>
    <row r="78" spans="1:16" ht="14.25" x14ac:dyDescent="0.2">
      <c r="A78" s="21">
        <v>9</v>
      </c>
      <c r="B78" s="1" t="s">
        <v>128</v>
      </c>
      <c r="C78" s="1"/>
      <c r="D78" s="1"/>
      <c r="E78" s="1"/>
      <c r="F78" s="1"/>
      <c r="G78" s="1"/>
      <c r="H78" s="1"/>
      <c r="I78" s="1"/>
      <c r="J78" s="1"/>
      <c r="K78" s="1"/>
      <c r="L78" s="3"/>
      <c r="M78" s="3"/>
      <c r="N78" s="3"/>
      <c r="O78" s="1"/>
      <c r="P78" s="1"/>
    </row>
    <row r="79" spans="1:16" ht="14.25" x14ac:dyDescent="0.2">
      <c r="A79" s="21">
        <v>10</v>
      </c>
      <c r="B79" s="143" t="s">
        <v>135</v>
      </c>
      <c r="C79" s="1"/>
      <c r="D79" s="1"/>
      <c r="E79" s="144"/>
      <c r="F79" s="1"/>
      <c r="G79" s="1"/>
      <c r="H79" s="1"/>
      <c r="I79" s="1"/>
      <c r="J79" s="1"/>
      <c r="K79" s="1"/>
      <c r="L79" s="3"/>
      <c r="M79" s="3"/>
      <c r="N79" s="3"/>
      <c r="O79" s="1"/>
      <c r="P79" s="1"/>
    </row>
    <row r="80" spans="1:16" ht="14.25" x14ac:dyDescent="0.2">
      <c r="A80" s="21">
        <v>11</v>
      </c>
      <c r="B80" s="145" t="s">
        <v>139</v>
      </c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3"/>
      <c r="O80" s="1"/>
      <c r="P80" s="1"/>
    </row>
    <row r="81" spans="1:16" ht="14.25" x14ac:dyDescent="0.2">
      <c r="A81" s="21" t="s">
        <v>105</v>
      </c>
      <c r="B81" s="1" t="s">
        <v>108</v>
      </c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3"/>
      <c r="O81" s="1"/>
      <c r="P81" s="1"/>
    </row>
    <row r="82" spans="1:16" ht="14.25" x14ac:dyDescent="0.2">
      <c r="A82" s="21">
        <v>12</v>
      </c>
      <c r="B82" s="1" t="s">
        <v>31</v>
      </c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3"/>
      <c r="O82" s="1"/>
      <c r="P82" s="1"/>
    </row>
    <row r="83" spans="1:16" x14ac:dyDescent="0.2">
      <c r="A83" s="1"/>
      <c r="B83" s="1" t="s">
        <v>78</v>
      </c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3"/>
      <c r="O83" s="1"/>
      <c r="P83" s="1"/>
    </row>
    <row r="84" spans="1:16" ht="14.25" x14ac:dyDescent="0.2">
      <c r="A84" s="21">
        <v>13</v>
      </c>
      <c r="B84" s="1" t="s">
        <v>123</v>
      </c>
      <c r="C84" s="1"/>
      <c r="D84" s="1"/>
      <c r="E84" s="1"/>
      <c r="F84" s="1"/>
      <c r="G84" s="1"/>
      <c r="H84" s="1"/>
      <c r="I84" s="1"/>
      <c r="J84" s="1"/>
      <c r="K84" s="1"/>
      <c r="L84" s="3"/>
      <c r="M84" s="3"/>
      <c r="N84" s="3"/>
      <c r="O84" s="1"/>
      <c r="P84" s="1"/>
    </row>
    <row r="85" spans="1:16" ht="14.25" x14ac:dyDescent="0.2">
      <c r="A85" s="21"/>
      <c r="B85" s="1" t="s">
        <v>113</v>
      </c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3"/>
      <c r="O85" s="1"/>
      <c r="P85" s="1"/>
    </row>
    <row r="86" spans="1:16" ht="14.25" x14ac:dyDescent="0.2">
      <c r="A86" s="21"/>
      <c r="B86" s="1" t="s">
        <v>112</v>
      </c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3"/>
      <c r="O86" s="1"/>
      <c r="P86" s="1"/>
    </row>
    <row r="87" spans="1:16" ht="14.25" x14ac:dyDescent="0.2">
      <c r="A87" s="21">
        <v>14</v>
      </c>
      <c r="B87" s="1" t="s">
        <v>32</v>
      </c>
      <c r="C87" s="1"/>
      <c r="D87" s="1"/>
      <c r="E87" s="1"/>
      <c r="F87" s="1"/>
      <c r="G87" s="1"/>
      <c r="H87" s="1"/>
      <c r="I87" s="1"/>
      <c r="J87" s="1"/>
      <c r="K87" s="1"/>
      <c r="L87" s="3"/>
      <c r="M87" s="3"/>
      <c r="N87" s="3"/>
      <c r="O87" s="1"/>
      <c r="P87" s="1"/>
    </row>
    <row r="88" spans="1:16" ht="14.25" x14ac:dyDescent="0.2">
      <c r="A88" s="21"/>
      <c r="B88" s="1"/>
      <c r="C88" s="145" t="s">
        <v>140</v>
      </c>
      <c r="D88" s="1"/>
      <c r="E88" s="1"/>
      <c r="F88" s="1"/>
      <c r="G88" s="1"/>
      <c r="H88" s="1"/>
      <c r="I88" s="1"/>
      <c r="J88" s="1"/>
      <c r="K88" s="1"/>
      <c r="L88" s="3"/>
      <c r="M88" s="3"/>
      <c r="N88" s="3"/>
      <c r="O88" s="1"/>
      <c r="P88" s="1"/>
    </row>
    <row r="89" spans="1:16" ht="14.25" x14ac:dyDescent="0.2">
      <c r="A89" s="21"/>
      <c r="B89" s="1"/>
      <c r="C89" s="145" t="s">
        <v>141</v>
      </c>
      <c r="D89" s="1"/>
      <c r="E89" s="1"/>
      <c r="F89" s="1"/>
      <c r="G89" s="1"/>
      <c r="H89" s="1"/>
      <c r="I89" s="1"/>
      <c r="J89" s="1"/>
      <c r="K89" s="1"/>
      <c r="L89" s="3"/>
      <c r="M89" s="3"/>
      <c r="N89" s="3"/>
      <c r="O89" s="1"/>
      <c r="P89" s="1"/>
    </row>
    <row r="90" spans="1:16" s="137" customFormat="1" ht="14.25" x14ac:dyDescent="0.2">
      <c r="A90" s="21"/>
      <c r="B90" s="1"/>
      <c r="C90" s="145" t="s">
        <v>151</v>
      </c>
      <c r="D90" s="1"/>
      <c r="E90" s="1"/>
      <c r="F90" s="1"/>
      <c r="G90" s="1"/>
      <c r="H90" s="1"/>
      <c r="I90" s="1"/>
      <c r="J90" s="1"/>
      <c r="K90" s="1"/>
      <c r="L90" s="3"/>
      <c r="M90" s="3"/>
      <c r="N90" s="3"/>
      <c r="O90" s="1"/>
      <c r="P90" s="1"/>
    </row>
    <row r="91" spans="1:16" ht="14.25" x14ac:dyDescent="0.2">
      <c r="A91" s="21">
        <v>15</v>
      </c>
      <c r="B91" s="1" t="s">
        <v>129</v>
      </c>
      <c r="C91" s="1"/>
      <c r="D91" s="1"/>
      <c r="E91" s="1"/>
      <c r="F91" s="1"/>
      <c r="G91" s="1"/>
      <c r="H91" s="1"/>
      <c r="I91" s="1"/>
      <c r="J91" s="1"/>
      <c r="K91" s="1"/>
      <c r="L91" s="3"/>
      <c r="M91" s="3"/>
      <c r="N91" s="3"/>
      <c r="O91" s="1"/>
      <c r="P91" s="1"/>
    </row>
    <row r="92" spans="1:16" ht="14.25" x14ac:dyDescent="0.2">
      <c r="A92" s="21"/>
      <c r="B92" s="1" t="s">
        <v>93</v>
      </c>
      <c r="C92" s="1"/>
      <c r="D92" s="1"/>
      <c r="E92" s="1"/>
      <c r="F92" s="1"/>
      <c r="G92" s="1"/>
      <c r="H92" s="1"/>
      <c r="I92" s="1"/>
      <c r="J92" s="1"/>
      <c r="K92" s="1"/>
      <c r="L92" s="3"/>
      <c r="M92" s="3"/>
      <c r="N92" s="3"/>
      <c r="O92" s="1"/>
      <c r="P92" s="1"/>
    </row>
    <row r="93" spans="1:16" ht="14.25" x14ac:dyDescent="0.2">
      <c r="A93" s="21"/>
      <c r="B93" s="1"/>
      <c r="C93" s="1" t="s">
        <v>122</v>
      </c>
      <c r="D93" s="1"/>
      <c r="E93" s="1"/>
      <c r="F93" s="1"/>
      <c r="G93" s="1"/>
      <c r="H93" s="1"/>
      <c r="I93" s="1"/>
      <c r="J93" s="1"/>
      <c r="K93" s="1"/>
      <c r="L93" s="3"/>
      <c r="M93" s="3"/>
      <c r="N93" s="3"/>
      <c r="O93" s="1"/>
      <c r="P93" s="1"/>
    </row>
    <row r="94" spans="1:16" ht="14.25" x14ac:dyDescent="0.2">
      <c r="A94" s="21">
        <v>16</v>
      </c>
      <c r="B94" s="1" t="s">
        <v>33</v>
      </c>
      <c r="C94" s="1"/>
      <c r="L94" s="22"/>
      <c r="M94" s="22"/>
      <c r="N94" s="22"/>
    </row>
    <row r="95" spans="1:16" x14ac:dyDescent="0.2">
      <c r="B95" s="1"/>
      <c r="C95" s="1" t="s">
        <v>34</v>
      </c>
      <c r="L95" s="22"/>
      <c r="M95" s="22"/>
      <c r="N95" s="22"/>
    </row>
    <row r="96" spans="1:16" x14ac:dyDescent="0.2">
      <c r="B96" s="1"/>
      <c r="C96" s="1"/>
      <c r="L96" s="22"/>
      <c r="M96" s="22"/>
      <c r="N96" s="22"/>
    </row>
    <row r="97" spans="1:14" x14ac:dyDescent="0.2">
      <c r="A97" s="154" t="s">
        <v>68</v>
      </c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</row>
    <row r="98" spans="1:14" ht="36" x14ac:dyDescent="0.2">
      <c r="A98" s="28"/>
      <c r="B98" s="28"/>
      <c r="C98" s="28"/>
      <c r="D98" s="28"/>
      <c r="E98" s="29" t="s">
        <v>35</v>
      </c>
      <c r="F98" s="30" t="s">
        <v>47</v>
      </c>
      <c r="G98" s="29" t="s">
        <v>48</v>
      </c>
      <c r="H98" s="29"/>
      <c r="I98" s="29"/>
      <c r="J98" s="31" t="s">
        <v>49</v>
      </c>
      <c r="K98" s="30" t="s">
        <v>50</v>
      </c>
      <c r="L98" s="30" t="s">
        <v>51</v>
      </c>
      <c r="M98" s="122" t="s">
        <v>92</v>
      </c>
      <c r="N98" s="30" t="s">
        <v>36</v>
      </c>
    </row>
    <row r="99" spans="1:14" x14ac:dyDescent="0.2">
      <c r="A99" s="28"/>
      <c r="B99" s="32" t="s">
        <v>132</v>
      </c>
      <c r="C99" s="32"/>
      <c r="D99" s="32"/>
      <c r="E99" s="33">
        <v>4</v>
      </c>
      <c r="F99" s="34">
        <v>32500</v>
      </c>
      <c r="G99" s="35">
        <v>400</v>
      </c>
      <c r="H99" s="36"/>
      <c r="I99" s="36"/>
      <c r="J99" s="37">
        <f>'Machinery Costs'!J2</f>
        <v>11.3369140625</v>
      </c>
      <c r="K99" s="38">
        <v>8.73</v>
      </c>
      <c r="L99" s="114">
        <f>0.38*E99</f>
        <v>1.52</v>
      </c>
      <c r="M99" s="119">
        <f>(G99*E99)/K99</f>
        <v>183.27605956471936</v>
      </c>
      <c r="N99" s="114">
        <f>0.64*E99</f>
        <v>2.56</v>
      </c>
    </row>
    <row r="100" spans="1:14" x14ac:dyDescent="0.2">
      <c r="A100" s="28"/>
      <c r="B100" s="39" t="s">
        <v>79</v>
      </c>
      <c r="C100" s="39"/>
      <c r="D100" s="39"/>
      <c r="E100" s="27">
        <v>4</v>
      </c>
      <c r="F100" s="23">
        <v>28000</v>
      </c>
      <c r="G100" s="40">
        <v>400</v>
      </c>
      <c r="H100" s="41"/>
      <c r="I100" s="41"/>
      <c r="J100" s="37">
        <f>'Machinery Costs'!J3</f>
        <v>9.7671875000000004</v>
      </c>
      <c r="K100" s="42">
        <v>4.3600000000000003</v>
      </c>
      <c r="L100" s="115">
        <f>0.4*E100</f>
        <v>1.6</v>
      </c>
      <c r="M100" s="120">
        <f>(G100*E100)/K100</f>
        <v>366.97247706422013</v>
      </c>
      <c r="N100" s="115">
        <f>3.24*E100</f>
        <v>12.96</v>
      </c>
    </row>
    <row r="101" spans="1:14" x14ac:dyDescent="0.2">
      <c r="A101" s="28"/>
      <c r="B101" s="39" t="s">
        <v>114</v>
      </c>
      <c r="C101" s="39"/>
      <c r="D101" s="39"/>
      <c r="E101" s="27">
        <v>4</v>
      </c>
      <c r="F101" s="23">
        <v>46500</v>
      </c>
      <c r="G101" s="40">
        <v>400</v>
      </c>
      <c r="H101" s="41"/>
      <c r="I101" s="41"/>
      <c r="J101" s="37">
        <f>'Machinery Costs'!J4</f>
        <v>16.220507812499999</v>
      </c>
      <c r="K101" s="42">
        <v>26.18</v>
      </c>
      <c r="L101" s="115">
        <f>0.07*E101</f>
        <v>0.28000000000000003</v>
      </c>
      <c r="M101" s="120">
        <f>(G101*E101)/K101</f>
        <v>61.11535523300229</v>
      </c>
      <c r="N101" s="115">
        <f>0.33*E101</f>
        <v>1.32</v>
      </c>
    </row>
    <row r="102" spans="1:14" x14ac:dyDescent="0.2">
      <c r="A102" s="28"/>
      <c r="B102" s="39" t="s">
        <v>103</v>
      </c>
      <c r="C102" s="39"/>
      <c r="D102" s="39"/>
      <c r="E102" s="27">
        <v>4</v>
      </c>
      <c r="F102" s="23">
        <v>16000</v>
      </c>
      <c r="G102" s="40">
        <v>400</v>
      </c>
      <c r="H102" s="41"/>
      <c r="I102" s="41"/>
      <c r="J102" s="37">
        <f>'Machinery Costs'!J5</f>
        <v>5.5812499999999998</v>
      </c>
      <c r="K102" s="65">
        <v>4.4000000000000004</v>
      </c>
      <c r="L102" s="115">
        <f>0.1*E102</f>
        <v>0.4</v>
      </c>
      <c r="M102" s="120">
        <f>M100/4</f>
        <v>91.743119266055032</v>
      </c>
      <c r="N102" s="115">
        <f>0.2*E102</f>
        <v>0.8</v>
      </c>
    </row>
    <row r="103" spans="1:14" x14ac:dyDescent="0.2">
      <c r="A103" s="28"/>
      <c r="B103" s="39" t="s">
        <v>76</v>
      </c>
      <c r="C103" s="39"/>
      <c r="D103" s="39"/>
      <c r="E103" s="27">
        <v>1</v>
      </c>
      <c r="F103" s="23">
        <v>12000</v>
      </c>
      <c r="G103" s="40">
        <v>2000</v>
      </c>
      <c r="H103" s="41"/>
      <c r="I103" s="104"/>
      <c r="J103" s="37">
        <f>'Machinery Costs'!J6</f>
        <v>0.81506249999999991</v>
      </c>
      <c r="K103" s="103">
        <v>34</v>
      </c>
      <c r="L103" s="115">
        <f>0.12*E103</f>
        <v>0.12</v>
      </c>
      <c r="M103" s="120">
        <f>(G103*E103)/K103</f>
        <v>58.823529411764703</v>
      </c>
      <c r="N103" s="117">
        <f>0.15*E103</f>
        <v>0.15</v>
      </c>
    </row>
    <row r="104" spans="1:14" x14ac:dyDescent="0.2">
      <c r="A104" s="28"/>
      <c r="B104" s="39" t="s">
        <v>133</v>
      </c>
      <c r="C104" s="39"/>
      <c r="D104" s="39"/>
      <c r="E104" s="27">
        <v>8</v>
      </c>
      <c r="F104" s="23">
        <v>74000</v>
      </c>
      <c r="G104" s="40">
        <v>400</v>
      </c>
      <c r="H104" s="41"/>
      <c r="I104" s="104"/>
      <c r="J104" s="37">
        <f>'Machinery Costs'!J7</f>
        <v>25.131093750000005</v>
      </c>
      <c r="K104" s="43" t="s">
        <v>52</v>
      </c>
      <c r="L104" s="43" t="s">
        <v>52</v>
      </c>
      <c r="M104" s="120">
        <f>M99+M100</f>
        <v>550.24853662893952</v>
      </c>
      <c r="N104" s="117">
        <f>(M104*2.22)/400</f>
        <v>3.0538793782906146</v>
      </c>
    </row>
    <row r="105" spans="1:14" x14ac:dyDescent="0.2">
      <c r="A105" s="28"/>
      <c r="B105" s="39" t="s">
        <v>134</v>
      </c>
      <c r="C105" s="39"/>
      <c r="D105" s="39"/>
      <c r="E105" s="27">
        <v>5</v>
      </c>
      <c r="F105" s="23">
        <v>40000</v>
      </c>
      <c r="G105" s="40">
        <v>400</v>
      </c>
      <c r="H105" s="41"/>
      <c r="I105" s="104"/>
      <c r="J105" s="37">
        <f>'Machinery Costs'!J8</f>
        <v>13.584375</v>
      </c>
      <c r="K105" s="43" t="s">
        <v>52</v>
      </c>
      <c r="L105" s="43" t="s">
        <v>52</v>
      </c>
      <c r="M105" s="120">
        <f>M101+M103</f>
        <v>119.938884644767</v>
      </c>
      <c r="N105" s="117">
        <f>(M105*1.41)/400</f>
        <v>0.42278456837280365</v>
      </c>
    </row>
    <row r="106" spans="1:14" x14ac:dyDescent="0.2">
      <c r="A106" s="28"/>
      <c r="B106" s="44" t="s">
        <v>53</v>
      </c>
      <c r="C106" s="44"/>
      <c r="D106" s="44"/>
      <c r="E106" s="45">
        <v>4</v>
      </c>
      <c r="F106" s="46">
        <v>30000</v>
      </c>
      <c r="G106" s="47">
        <v>2000</v>
      </c>
      <c r="H106" s="48"/>
      <c r="I106" s="48"/>
      <c r="J106" s="123">
        <f>'Machinery Costs'!J9</f>
        <v>2.0929687499999998</v>
      </c>
      <c r="K106" s="49" t="s">
        <v>52</v>
      </c>
      <c r="L106" s="116">
        <v>0.21</v>
      </c>
      <c r="M106" s="136">
        <f>M102</f>
        <v>91.743119266055032</v>
      </c>
      <c r="N106" s="118">
        <v>0.15</v>
      </c>
    </row>
    <row r="107" spans="1:14" x14ac:dyDescent="0.2">
      <c r="A107" s="28"/>
      <c r="C107" s="28"/>
      <c r="D107" s="28"/>
      <c r="E107" s="50"/>
      <c r="F107" s="51"/>
      <c r="G107" s="51"/>
      <c r="H107" s="51"/>
      <c r="I107" s="51"/>
      <c r="J107" s="52"/>
      <c r="K107" s="53" t="s">
        <v>54</v>
      </c>
      <c r="L107" s="54">
        <f>SUM(L99:L105)*N110+(L106*N110*1.2)</f>
        <v>7.3010000000000002</v>
      </c>
      <c r="N107" s="55"/>
    </row>
    <row r="108" spans="1:14" x14ac:dyDescent="0.2">
      <c r="A108" s="28"/>
      <c r="B108" s="56" t="s">
        <v>55</v>
      </c>
      <c r="C108" s="56"/>
      <c r="D108" s="56"/>
      <c r="E108" s="56"/>
      <c r="F108" s="57"/>
      <c r="G108" s="57"/>
      <c r="H108" s="57"/>
      <c r="I108" s="57"/>
      <c r="J108" s="58">
        <f>SUM(J99:J106)</f>
        <v>84.529359374999999</v>
      </c>
      <c r="K108" s="53" t="s">
        <v>56</v>
      </c>
      <c r="L108" s="54">
        <f>(L107*0.1)+L107</f>
        <v>8.0311000000000003</v>
      </c>
      <c r="M108" s="26" t="s">
        <v>57</v>
      </c>
      <c r="N108" s="54">
        <f>SUM(N99:N106)</f>
        <v>21.416663946663416</v>
      </c>
    </row>
    <row r="109" spans="1:14" x14ac:dyDescent="0.2">
      <c r="A109" s="28"/>
      <c r="B109" s="56"/>
      <c r="C109" s="28"/>
      <c r="D109" s="28"/>
      <c r="E109" s="28"/>
      <c r="F109" s="59"/>
      <c r="G109" s="60"/>
      <c r="H109" s="60"/>
      <c r="I109" s="60"/>
      <c r="J109" s="61"/>
      <c r="K109" s="56"/>
      <c r="L109" s="62"/>
      <c r="M109" s="62"/>
      <c r="N109" s="62"/>
    </row>
    <row r="110" spans="1:14" x14ac:dyDescent="0.2">
      <c r="A110" s="28"/>
      <c r="B110" s="28"/>
      <c r="C110" s="56"/>
      <c r="D110" s="56"/>
      <c r="E110" s="56"/>
      <c r="F110" s="63"/>
      <c r="G110" s="63"/>
      <c r="H110" s="63"/>
      <c r="I110" s="63"/>
      <c r="J110" s="63"/>
      <c r="K110" s="152" t="s">
        <v>58</v>
      </c>
      <c r="L110" s="152"/>
      <c r="M110" s="152"/>
      <c r="N110" s="64">
        <v>1.75</v>
      </c>
    </row>
    <row r="111" spans="1:14" x14ac:dyDescent="0.2">
      <c r="B111" s="1"/>
      <c r="C111" s="1"/>
      <c r="L111" s="22"/>
      <c r="M111" s="22"/>
      <c r="N111" s="22"/>
    </row>
    <row r="112" spans="1:14" x14ac:dyDescent="0.2">
      <c r="A112" s="70"/>
      <c r="B112" s="9"/>
      <c r="C112" s="9"/>
      <c r="D112" s="70"/>
      <c r="E112" s="70"/>
      <c r="F112" s="70"/>
      <c r="G112" s="70"/>
      <c r="H112" s="70"/>
      <c r="I112" s="70"/>
      <c r="J112" s="70"/>
      <c r="K112" s="70"/>
      <c r="L112" s="71"/>
      <c r="M112" s="71"/>
      <c r="N112" s="71"/>
    </row>
    <row r="113" spans="1:18" x14ac:dyDescent="0.2">
      <c r="A113" s="28" t="s">
        <v>117</v>
      </c>
      <c r="B113" s="56"/>
      <c r="C113" s="56"/>
      <c r="D113" s="56"/>
      <c r="E113" s="56"/>
      <c r="F113" s="63"/>
      <c r="G113" s="63"/>
      <c r="H113" s="63"/>
      <c r="I113" s="63"/>
      <c r="J113" s="61"/>
      <c r="K113" s="56"/>
      <c r="L113" s="62"/>
      <c r="M113" s="62"/>
      <c r="N113" s="20"/>
      <c r="O113" s="1"/>
      <c r="P113" s="1"/>
    </row>
    <row r="114" spans="1:18" x14ac:dyDescent="0.2">
      <c r="A114" s="28" t="s">
        <v>94</v>
      </c>
      <c r="B114" s="56"/>
      <c r="C114" s="56"/>
      <c r="D114" s="56"/>
      <c r="E114" s="56"/>
      <c r="F114" s="63"/>
      <c r="G114" s="63"/>
      <c r="H114" s="63"/>
      <c r="I114" s="63"/>
      <c r="J114" s="61"/>
      <c r="K114" s="56"/>
      <c r="L114" s="62"/>
      <c r="M114" s="62"/>
      <c r="N114" s="20"/>
      <c r="O114" s="3"/>
      <c r="P114" s="1"/>
    </row>
    <row r="115" spans="1:18" x14ac:dyDescent="0.2">
      <c r="A115" s="124" t="s">
        <v>150</v>
      </c>
      <c r="B115" s="56"/>
      <c r="C115" s="56"/>
      <c r="D115" s="56"/>
      <c r="E115" s="56"/>
      <c r="F115" s="63"/>
      <c r="G115" s="63"/>
      <c r="H115" s="63"/>
      <c r="I115" s="63"/>
      <c r="J115" s="61"/>
      <c r="K115" s="56"/>
      <c r="L115" s="62"/>
      <c r="M115" s="62"/>
      <c r="N115" s="20"/>
      <c r="O115" s="3"/>
      <c r="P115" s="1"/>
    </row>
    <row r="116" spans="1:18" x14ac:dyDescent="0.2">
      <c r="A116" s="28" t="s">
        <v>130</v>
      </c>
      <c r="B116" s="28"/>
      <c r="C116" s="28"/>
      <c r="D116" s="28"/>
      <c r="E116" s="28"/>
      <c r="F116" s="82"/>
      <c r="G116" s="82"/>
      <c r="H116" s="82"/>
      <c r="I116" s="82"/>
      <c r="J116" s="61"/>
      <c r="K116" s="28"/>
      <c r="L116" s="83"/>
      <c r="M116" s="83"/>
      <c r="N116" s="20"/>
      <c r="O116" s="3"/>
    </row>
    <row r="117" spans="1:18" x14ac:dyDescent="0.2">
      <c r="A117" s="28" t="s">
        <v>131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84"/>
      <c r="N117" s="20"/>
      <c r="O117" s="3"/>
    </row>
    <row r="118" spans="1:18" ht="13.5" customHeight="1" x14ac:dyDescent="0.2">
      <c r="A118" s="28" t="s">
        <v>115</v>
      </c>
      <c r="B118" s="28"/>
      <c r="C118" s="28"/>
      <c r="D118" s="28"/>
      <c r="E118" s="85"/>
      <c r="F118" s="85"/>
      <c r="G118" s="85"/>
      <c r="H118" s="85"/>
      <c r="I118" s="85"/>
      <c r="J118" s="85"/>
      <c r="K118" s="28"/>
      <c r="L118" s="28"/>
      <c r="M118" s="83"/>
      <c r="N118" s="20"/>
      <c r="O118" s="3"/>
    </row>
    <row r="119" spans="1:18" x14ac:dyDescent="0.2">
      <c r="A119" s="86" t="s">
        <v>100</v>
      </c>
      <c r="B119" s="28"/>
      <c r="C119" s="87"/>
      <c r="D119" s="28"/>
      <c r="E119" s="85"/>
      <c r="F119" s="85"/>
      <c r="G119" s="85"/>
      <c r="H119" s="85"/>
      <c r="I119" s="85"/>
      <c r="J119" s="85"/>
      <c r="K119" s="28"/>
      <c r="L119" s="28"/>
      <c r="M119" s="83"/>
      <c r="N119" s="20"/>
      <c r="O119" s="3"/>
    </row>
    <row r="120" spans="1:18" x14ac:dyDescent="0.2">
      <c r="A120" s="28" t="s">
        <v>97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83"/>
      <c r="N120" s="20"/>
      <c r="O120" s="3"/>
      <c r="Q120" s="25"/>
      <c r="R120" s="25"/>
    </row>
    <row r="121" spans="1:18" x14ac:dyDescent="0.2">
      <c r="A121" s="28" t="s">
        <v>149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83"/>
      <c r="N121" s="20"/>
      <c r="O121" s="3"/>
      <c r="Q121" s="25"/>
      <c r="R121" s="25"/>
    </row>
    <row r="122" spans="1:18" x14ac:dyDescent="0.2">
      <c r="A122" s="28" t="s">
        <v>101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83"/>
      <c r="N122" s="20"/>
      <c r="O122" s="3"/>
      <c r="Q122" s="25"/>
      <c r="R122" s="25"/>
    </row>
    <row r="123" spans="1:18" x14ac:dyDescent="0.2">
      <c r="A123" s="28" t="s">
        <v>96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83"/>
      <c r="N123" s="20"/>
      <c r="O123" s="3"/>
      <c r="Q123" s="25"/>
      <c r="R123" s="25"/>
    </row>
    <row r="124" spans="1:18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83"/>
      <c r="N124" s="20"/>
      <c r="O124" s="3"/>
      <c r="Q124" s="25"/>
      <c r="R124" s="25"/>
    </row>
    <row r="125" spans="1:18" x14ac:dyDescent="0.2">
      <c r="A125" s="128" t="s">
        <v>102</v>
      </c>
      <c r="B125" s="7"/>
      <c r="C125" s="7"/>
      <c r="D125" s="7"/>
      <c r="E125" s="7"/>
      <c r="F125" s="75"/>
      <c r="G125" s="73"/>
      <c r="H125" s="73"/>
      <c r="I125" s="76"/>
      <c r="J125" s="70"/>
      <c r="K125" s="70"/>
      <c r="L125" s="74"/>
      <c r="M125" s="77"/>
      <c r="N125" s="20"/>
      <c r="O125" s="3"/>
      <c r="P125" s="1"/>
      <c r="Q125" s="25"/>
      <c r="R125" s="25"/>
    </row>
    <row r="126" spans="1:18" x14ac:dyDescent="0.2">
      <c r="A126" s="142" t="s">
        <v>142</v>
      </c>
      <c r="B126" s="7"/>
      <c r="C126" s="7"/>
      <c r="D126" s="7"/>
      <c r="E126" s="7"/>
      <c r="F126" s="78"/>
      <c r="G126" s="73"/>
      <c r="H126" s="73"/>
      <c r="I126" s="7"/>
      <c r="J126" s="74"/>
      <c r="K126" s="74"/>
      <c r="L126" s="74"/>
      <c r="M126" s="72"/>
      <c r="N126" s="20"/>
      <c r="O126" s="3"/>
      <c r="P126" s="1"/>
      <c r="Q126" s="25"/>
      <c r="R126" s="25"/>
    </row>
    <row r="127" spans="1:18" x14ac:dyDescent="0.2">
      <c r="A127" s="147" t="s">
        <v>143</v>
      </c>
      <c r="B127" s="70"/>
      <c r="C127" s="9"/>
      <c r="D127" s="9"/>
      <c r="E127" s="9"/>
      <c r="F127" s="78"/>
      <c r="G127" s="73"/>
      <c r="H127" s="73"/>
      <c r="I127" s="9"/>
      <c r="J127" s="20"/>
      <c r="K127" s="20"/>
      <c r="L127" s="20"/>
      <c r="M127" s="72"/>
      <c r="N127" s="20"/>
      <c r="O127" s="3"/>
      <c r="P127" s="1"/>
      <c r="Q127" s="1"/>
      <c r="R127" s="25"/>
    </row>
    <row r="128" spans="1:18" s="137" customFormat="1" x14ac:dyDescent="0.2">
      <c r="A128" s="148" t="s">
        <v>144</v>
      </c>
      <c r="B128" s="70"/>
      <c r="C128" s="9"/>
      <c r="D128" s="9"/>
      <c r="E128" s="9"/>
      <c r="F128" s="78"/>
      <c r="G128" s="73"/>
      <c r="H128" s="73"/>
      <c r="I128" s="9"/>
      <c r="J128" s="20"/>
      <c r="K128" s="20"/>
      <c r="L128" s="20"/>
      <c r="M128" s="72"/>
      <c r="N128" s="20"/>
      <c r="O128" s="3"/>
      <c r="P128" s="1"/>
      <c r="Q128" s="1"/>
      <c r="R128" s="25"/>
    </row>
    <row r="129" spans="1:17" x14ac:dyDescent="0.2">
      <c r="A129" s="147"/>
      <c r="B129" s="9"/>
      <c r="C129" s="9"/>
      <c r="D129" s="9"/>
      <c r="E129" s="79"/>
      <c r="F129" s="70"/>
      <c r="G129" s="80"/>
      <c r="H129" s="80"/>
      <c r="I129" s="80"/>
      <c r="J129" s="80"/>
      <c r="K129" s="80"/>
      <c r="L129" s="81"/>
      <c r="M129" s="20"/>
      <c r="N129" s="20"/>
      <c r="O129" s="3"/>
      <c r="P129" s="1"/>
      <c r="Q129" s="3"/>
    </row>
    <row r="130" spans="1:17" x14ac:dyDescent="0.2">
      <c r="A130" s="80" t="s">
        <v>110</v>
      </c>
      <c r="B130" s="70"/>
      <c r="C130" s="9"/>
      <c r="D130" s="9"/>
      <c r="E130" s="9"/>
      <c r="F130" s="78"/>
      <c r="G130" s="73"/>
      <c r="H130" s="73"/>
      <c r="I130" s="9"/>
      <c r="J130" s="20"/>
      <c r="K130" s="20"/>
      <c r="L130" s="20"/>
      <c r="M130" s="74"/>
      <c r="N130" s="20"/>
      <c r="O130" s="3"/>
      <c r="P130" s="1"/>
    </row>
    <row r="131" spans="1:17" x14ac:dyDescent="0.2">
      <c r="A131" s="134" t="s">
        <v>111</v>
      </c>
      <c r="B131" s="9"/>
      <c r="C131" s="9"/>
      <c r="D131" s="9"/>
      <c r="E131" s="79"/>
      <c r="F131" s="70"/>
      <c r="G131" s="80"/>
      <c r="H131" s="80"/>
      <c r="I131" s="80"/>
      <c r="J131" s="80"/>
      <c r="K131" s="80"/>
      <c r="L131" s="81"/>
      <c r="M131" s="20"/>
      <c r="N131" s="20"/>
      <c r="O131" s="3"/>
      <c r="P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"/>
      <c r="M133" s="3"/>
      <c r="N133" s="3"/>
      <c r="O133" s="3"/>
      <c r="P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"/>
      <c r="M134" s="3"/>
      <c r="N134" s="3"/>
      <c r="O134" s="3"/>
      <c r="P134" s="1"/>
    </row>
    <row r="135" spans="1:17" x14ac:dyDescent="0.2">
      <c r="I135" s="1"/>
      <c r="M135" s="3"/>
      <c r="N135" s="3"/>
      <c r="O135" s="3"/>
      <c r="P135" s="1"/>
    </row>
    <row r="136" spans="1:17" x14ac:dyDescent="0.2">
      <c r="G136" s="1"/>
      <c r="H136" s="1"/>
      <c r="I136" s="1"/>
      <c r="O136" s="3"/>
      <c r="P136" s="1"/>
    </row>
    <row r="137" spans="1:17" x14ac:dyDescent="0.2">
      <c r="G137" s="1"/>
      <c r="H137" s="1"/>
      <c r="I137" s="1"/>
      <c r="O137" s="24"/>
    </row>
    <row r="138" spans="1:17" x14ac:dyDescent="0.2">
      <c r="G138" s="1"/>
      <c r="H138" s="1"/>
      <c r="I138" s="1"/>
      <c r="O138" s="24"/>
    </row>
    <row r="139" spans="1:17" x14ac:dyDescent="0.2">
      <c r="A139" s="1"/>
      <c r="G139" s="1"/>
      <c r="H139" s="1"/>
      <c r="O139" s="24"/>
    </row>
  </sheetData>
  <mergeCells count="8">
    <mergeCell ref="K110:M110"/>
    <mergeCell ref="L6:N6"/>
    <mergeCell ref="A97:N97"/>
    <mergeCell ref="I6:J6"/>
    <mergeCell ref="I7:J7"/>
    <mergeCell ref="F6:G6"/>
    <mergeCell ref="A6:C6"/>
    <mergeCell ref="L7:N7"/>
  </mergeCells>
  <phoneticPr fontId="0" type="noConversion"/>
  <hyperlinks>
    <hyperlink ref="C92" r:id="rId1" display="http://aede.osu.edu/resources/docs/pdf/UDSIO6SG-9315-IQAW-X7QLG33KLHMNAZZ6.pdf"/>
    <hyperlink ref="A131" r:id="rId2"/>
  </hyperlinks>
  <printOptions horizontalCentered="1"/>
  <pageMargins left="0.5" right="0.5" top="0.5" bottom="0.5" header="0.5" footer="0.5"/>
  <pageSetup scale="78" fitToHeight="2" orientation="portrait" r:id="rId3"/>
  <headerFooter alignWithMargins="0"/>
  <rowBreaks count="1" manualBreakCount="1">
    <brk id="56" max="13" man="1"/>
  </rowBreaks>
  <colBreaks count="1" manualBreakCount="1">
    <brk id="16" max="96" man="1"/>
  </colBreaks>
  <ignoredErrors>
    <ignoredError sqref="M102" formula="1"/>
  </ignoredError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9" sqref="A9"/>
    </sheetView>
  </sheetViews>
  <sheetFormatPr defaultColWidth="8.85546875" defaultRowHeight="12.75" x14ac:dyDescent="0.2"/>
  <cols>
    <col min="2" max="2" width="13" customWidth="1"/>
    <col min="3" max="3" width="14.7109375" customWidth="1"/>
    <col min="4" max="4" width="12.28515625" customWidth="1"/>
    <col min="5" max="5" width="11.42578125" customWidth="1"/>
    <col min="6" max="6" width="10.42578125" customWidth="1"/>
    <col min="7" max="7" width="9.42578125" customWidth="1"/>
    <col min="8" max="9" width="10.7109375" customWidth="1"/>
    <col min="10" max="10" width="10.42578125" customWidth="1"/>
  </cols>
  <sheetData>
    <row r="1" spans="1:10" x14ac:dyDescent="0.2">
      <c r="A1" s="121"/>
      <c r="B1" s="121"/>
      <c r="C1" s="121" t="s">
        <v>84</v>
      </c>
      <c r="D1" s="121" t="s">
        <v>85</v>
      </c>
      <c r="E1" s="121" t="s">
        <v>86</v>
      </c>
      <c r="F1" s="121" t="s">
        <v>87</v>
      </c>
      <c r="G1" s="121" t="s">
        <v>88</v>
      </c>
      <c r="H1" s="121" t="s">
        <v>89</v>
      </c>
      <c r="I1" s="121" t="s">
        <v>91</v>
      </c>
      <c r="J1" s="121" t="s">
        <v>90</v>
      </c>
    </row>
    <row r="2" spans="1:10" x14ac:dyDescent="0.2">
      <c r="A2" s="32" t="s">
        <v>95</v>
      </c>
      <c r="B2" s="32"/>
      <c r="C2" s="105">
        <f>(alfhay!F99+(alfhay!F99*0.3)+D2)/2</f>
        <v>22546.875</v>
      </c>
      <c r="D2" s="106">
        <f>(alfhay!F99-(alfhay!F99*0.3))/8</f>
        <v>2843.75</v>
      </c>
      <c r="E2" s="106">
        <f t="shared" ref="E2:E9" si="0">C2*0.06</f>
        <v>1352.8125</v>
      </c>
      <c r="F2" s="106">
        <f t="shared" ref="F2:F9" si="1">C2*0.005</f>
        <v>112.734375</v>
      </c>
      <c r="G2" s="106">
        <f t="shared" ref="G2:G9" si="2">C2*0.01</f>
        <v>225.46875</v>
      </c>
      <c r="H2" s="106">
        <f>SUM(D2:G2)</f>
        <v>4534.765625</v>
      </c>
      <c r="I2" s="107">
        <f>alfhay!G99</f>
        <v>400</v>
      </c>
      <c r="J2" s="106">
        <f>H2/I2</f>
        <v>11.3369140625</v>
      </c>
    </row>
    <row r="3" spans="1:10" x14ac:dyDescent="0.2">
      <c r="A3" s="39" t="s">
        <v>79</v>
      </c>
      <c r="B3" s="39"/>
      <c r="C3" s="108">
        <f>(alfhay!F100+(alfhay!F100*0.3)+D3)/2</f>
        <v>19425</v>
      </c>
      <c r="D3" s="109">
        <f>(alfhay!F100-(alfhay!F100*0.3))/8</f>
        <v>2450</v>
      </c>
      <c r="E3" s="109">
        <f t="shared" si="0"/>
        <v>1165.5</v>
      </c>
      <c r="F3" s="109">
        <f t="shared" si="1"/>
        <v>97.125</v>
      </c>
      <c r="G3" s="109">
        <f t="shared" si="2"/>
        <v>194.25</v>
      </c>
      <c r="H3" s="109">
        <f t="shared" ref="H3:H9" si="3">SUM(D3:G3)</f>
        <v>3906.875</v>
      </c>
      <c r="I3" s="110">
        <f>alfhay!G100</f>
        <v>400</v>
      </c>
      <c r="J3" s="109">
        <f t="shared" ref="J3:J9" si="4">H3/I3</f>
        <v>9.7671875000000004</v>
      </c>
    </row>
    <row r="4" spans="1:10" x14ac:dyDescent="0.2">
      <c r="A4" s="39" t="s">
        <v>114</v>
      </c>
      <c r="B4" s="39"/>
      <c r="C4" s="108">
        <f>(alfhay!F101+(alfhay!F101*0.3)+D4)/2</f>
        <v>32259.375</v>
      </c>
      <c r="D4" s="109">
        <f>(alfhay!F101-(alfhay!F101*0.3))/8</f>
        <v>4068.75</v>
      </c>
      <c r="E4" s="109">
        <f t="shared" si="0"/>
        <v>1935.5625</v>
      </c>
      <c r="F4" s="109">
        <f t="shared" si="1"/>
        <v>161.296875</v>
      </c>
      <c r="G4" s="109">
        <f t="shared" si="2"/>
        <v>322.59375</v>
      </c>
      <c r="H4" s="109">
        <f t="shared" si="3"/>
        <v>6488.203125</v>
      </c>
      <c r="I4" s="110">
        <f>alfhay!G101</f>
        <v>400</v>
      </c>
      <c r="J4" s="109">
        <f t="shared" si="4"/>
        <v>16.220507812499999</v>
      </c>
    </row>
    <row r="5" spans="1:10" x14ac:dyDescent="0.2">
      <c r="A5" s="39" t="s">
        <v>103</v>
      </c>
      <c r="B5" s="39"/>
      <c r="C5" s="108">
        <f>(alfhay!F102+(alfhay!F102*0.3)+D5)/2</f>
        <v>11100</v>
      </c>
      <c r="D5" s="109">
        <f>(alfhay!F102-(alfhay!F102*0.3))/8</f>
        <v>1400</v>
      </c>
      <c r="E5" s="109">
        <f t="shared" si="0"/>
        <v>666</v>
      </c>
      <c r="F5" s="109">
        <f t="shared" si="1"/>
        <v>55.5</v>
      </c>
      <c r="G5" s="109">
        <f t="shared" si="2"/>
        <v>111</v>
      </c>
      <c r="H5" s="109">
        <f t="shared" si="3"/>
        <v>2232.5</v>
      </c>
      <c r="I5" s="110">
        <f>alfhay!G102</f>
        <v>400</v>
      </c>
      <c r="J5" s="109">
        <f t="shared" si="4"/>
        <v>5.5812499999999998</v>
      </c>
    </row>
    <row r="6" spans="1:10" x14ac:dyDescent="0.2">
      <c r="A6" s="39" t="s">
        <v>76</v>
      </c>
      <c r="B6" s="39"/>
      <c r="C6" s="108">
        <f>(alfhay!F103+(alfhay!F103*0.34)+D6)/2</f>
        <v>8535</v>
      </c>
      <c r="D6" s="109">
        <f>(alfhay!F103-(alfhay!F103*0.34))/8</f>
        <v>990</v>
      </c>
      <c r="E6" s="109">
        <f t="shared" si="0"/>
        <v>512.1</v>
      </c>
      <c r="F6" s="109">
        <f t="shared" si="1"/>
        <v>42.675000000000004</v>
      </c>
      <c r="G6" s="109">
        <f t="shared" si="2"/>
        <v>85.350000000000009</v>
      </c>
      <c r="H6" s="109">
        <f t="shared" si="3"/>
        <v>1630.1249999999998</v>
      </c>
      <c r="I6" s="110">
        <f>alfhay!G103</f>
        <v>2000</v>
      </c>
      <c r="J6" s="109">
        <f t="shared" si="4"/>
        <v>0.81506249999999991</v>
      </c>
    </row>
    <row r="7" spans="1:10" x14ac:dyDescent="0.2">
      <c r="A7" s="39" t="s">
        <v>133</v>
      </c>
      <c r="B7" s="39"/>
      <c r="C7" s="108">
        <f>(alfhay!F104+(alfhay!F104*0.34)+D7)/2</f>
        <v>52632.5</v>
      </c>
      <c r="D7" s="109">
        <f>(alfhay!F104-(alfhay!F104*0.34))/8</f>
        <v>6105</v>
      </c>
      <c r="E7" s="109">
        <f>C7*0.06</f>
        <v>3157.95</v>
      </c>
      <c r="F7" s="109">
        <f>C7*0.005</f>
        <v>263.16250000000002</v>
      </c>
      <c r="G7" s="109">
        <f>C7*0.01</f>
        <v>526.32500000000005</v>
      </c>
      <c r="H7" s="109">
        <f>SUM(D7:G7)</f>
        <v>10052.437500000002</v>
      </c>
      <c r="I7" s="110">
        <f>alfhay!G104</f>
        <v>400</v>
      </c>
      <c r="J7" s="109">
        <f>H7/I7</f>
        <v>25.131093750000005</v>
      </c>
    </row>
    <row r="8" spans="1:10" x14ac:dyDescent="0.2">
      <c r="A8" s="39" t="s">
        <v>134</v>
      </c>
      <c r="B8" s="39"/>
      <c r="C8" s="108">
        <f>(alfhay!F105+(alfhay!F105*0.34)+D8)/2</f>
        <v>28450</v>
      </c>
      <c r="D8" s="109">
        <f>(alfhay!F105-(alfhay!F105*0.34))/8</f>
        <v>3300</v>
      </c>
      <c r="E8" s="109">
        <f>C8*0.06</f>
        <v>1707</v>
      </c>
      <c r="F8" s="109">
        <f>C8*0.005</f>
        <v>142.25</v>
      </c>
      <c r="G8" s="109">
        <f>C8*0.01</f>
        <v>284.5</v>
      </c>
      <c r="H8" s="109">
        <f>SUM(D8:G8)</f>
        <v>5433.75</v>
      </c>
      <c r="I8" s="110">
        <f>alfhay!G105</f>
        <v>400</v>
      </c>
      <c r="J8" s="109">
        <f>H8/I8</f>
        <v>13.584375</v>
      </c>
    </row>
    <row r="9" spans="1:10" x14ac:dyDescent="0.2">
      <c r="A9" s="44" t="s">
        <v>53</v>
      </c>
      <c r="B9" s="44"/>
      <c r="C9" s="111">
        <f>(alfhay!F106+(alfhay!F106*0.3)+D9)/2</f>
        <v>20812.5</v>
      </c>
      <c r="D9" s="112">
        <f>(alfhay!F106-(alfhay!F106*0.3))/8</f>
        <v>2625</v>
      </c>
      <c r="E9" s="112">
        <f t="shared" si="0"/>
        <v>1248.75</v>
      </c>
      <c r="F9" s="112">
        <f t="shared" si="1"/>
        <v>104.0625</v>
      </c>
      <c r="G9" s="112">
        <f t="shared" si="2"/>
        <v>208.125</v>
      </c>
      <c r="H9" s="112">
        <f t="shared" si="3"/>
        <v>4185.9375</v>
      </c>
      <c r="I9" s="113">
        <f>alfhay!G106</f>
        <v>2000</v>
      </c>
      <c r="J9" s="112">
        <f t="shared" si="4"/>
        <v>2.0929687499999998</v>
      </c>
    </row>
  </sheetData>
  <phoneticPr fontId="15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alfhay</vt:lpstr>
      <vt:lpstr>Machinery Costs</vt:lpstr>
      <vt:lpstr>alfhay!Print_Area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2014-05-29T19:58:46Z</cp:lastPrinted>
  <dcterms:created xsi:type="dcterms:W3CDTF">2002-12-27T16:13:54Z</dcterms:created>
  <dcterms:modified xsi:type="dcterms:W3CDTF">2016-07-23T17:17:10Z</dcterms:modified>
</cp:coreProperties>
</file>