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85" windowHeight="8580" activeTab="0"/>
  </bookViews>
  <sheets>
    <sheet name="wheat" sheetId="1" r:id="rId1"/>
  </sheets>
  <definedNames>
    <definedName name="_xlnm.Print_Area" localSheetId="0">'wheat'!$A$1:$N$138</definedName>
  </definedNames>
  <calcPr fullCalcOnLoad="1"/>
</workbook>
</file>

<file path=xl/sharedStrings.xml><?xml version="1.0" encoding="utf-8"?>
<sst xmlns="http://schemas.openxmlformats.org/spreadsheetml/2006/main" count="164" uniqueCount="133">
  <si>
    <t>Grain and Straw Harvested</t>
  </si>
  <si>
    <t>ITEM</t>
  </si>
  <si>
    <t>EXPLANATION</t>
  </si>
  <si>
    <t>PRICE PER</t>
  </si>
  <si>
    <t>YIELD (bu/A)</t>
  </si>
  <si>
    <t xml:space="preserve">YOUR </t>
  </si>
  <si>
    <t>UNIT</t>
  </si>
  <si>
    <t>BUDGET</t>
  </si>
  <si>
    <t>RECEIPTS</t>
  </si>
  <si>
    <t>/bu</t>
  </si>
  <si>
    <t>VARIABLE  COSTS</t>
  </si>
  <si>
    <t>Seed</t>
  </si>
  <si>
    <t>/lb</t>
  </si>
  <si>
    <t>N (lbs.)</t>
  </si>
  <si>
    <t>Lime(ton)</t>
  </si>
  <si>
    <t>/ton</t>
  </si>
  <si>
    <t>Trucking - Fuel Only</t>
  </si>
  <si>
    <t>mo.</t>
  </si>
  <si>
    <t>TOTAL VARIABLE COSTS</t>
  </si>
  <si>
    <t>-Per Acre</t>
  </si>
  <si>
    <t>-Per Bushel</t>
  </si>
  <si>
    <t>FIXED COSTS</t>
  </si>
  <si>
    <t>hours</t>
  </si>
  <si>
    <t>/hr</t>
  </si>
  <si>
    <t>Management Charge</t>
  </si>
  <si>
    <t>of gross revenue</t>
  </si>
  <si>
    <t>TOTAL FIXED COSTS</t>
  </si>
  <si>
    <t>TOTAL COSTS  (Grain Only)</t>
  </si>
  <si>
    <t>RETURN ABOVE VARIABLE COSTS</t>
  </si>
  <si>
    <t>RETURN ABOVE TOTAL COSTS</t>
  </si>
  <si>
    <t>RECEIPTS (Straw Only)</t>
  </si>
  <si>
    <t>VARIABLE COSTS (Straw Only)</t>
  </si>
  <si>
    <t>Miscellaneous</t>
  </si>
  <si>
    <t>FIXED COSTS (Straw Only)</t>
  </si>
  <si>
    <t>/hour</t>
  </si>
  <si>
    <t>RETURN ABOVE VARIABLE COSTS (Straw Only)</t>
  </si>
  <si>
    <t>RETURN ABOVE TOTAL COSTS (Straw Only)</t>
  </si>
  <si>
    <t xml:space="preserve">Assumes only maintenance application of fertilizer needed, soil test values of 20 PPM P/A and 125 PPM K/A, </t>
  </si>
  <si>
    <t>Check with local sources for current prices.</t>
  </si>
  <si>
    <t>See tables below for specific calculations.</t>
  </si>
  <si>
    <t xml:space="preserve">Part or all of labor may be a variable cost if paid labor varies with acres farmed. </t>
  </si>
  <si>
    <t xml:space="preserve">It's a fixed cost if labor costs do not change with acres farmed. </t>
  </si>
  <si>
    <t>Return to labor and management is the revenue less total expenses except operator labor and management.</t>
  </si>
  <si>
    <t>It is a measure of the returns to the operator's labor and management.</t>
  </si>
  <si>
    <t>Number times used</t>
  </si>
  <si>
    <t xml:space="preserve">Cost </t>
  </si>
  <si>
    <t>Repairs ($/A)</t>
  </si>
  <si>
    <t>Fertilizer Spreader</t>
  </si>
  <si>
    <t>160 HP Tractor</t>
  </si>
  <si>
    <t>75 HP Tractor</t>
  </si>
  <si>
    <t>Price of Diesel Fuel =</t>
  </si>
  <si>
    <t>Fixed costs rate includes depreciation, interest, housing, and insurance.</t>
  </si>
  <si>
    <t>*Fuel calculations are based on the implement plus tractor.</t>
  </si>
  <si>
    <t>Machinery Inventory - Straw Only</t>
  </si>
  <si>
    <t>Fuel*        (gal/A)</t>
  </si>
  <si>
    <r>
      <t>Fertilizer</t>
    </r>
    <r>
      <rPr>
        <vertAlign val="superscript"/>
        <sz val="10"/>
        <rFont val="Arial"/>
        <family val="2"/>
      </rPr>
      <t xml:space="preserve"> 3</t>
    </r>
  </si>
  <si>
    <r>
      <t>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5</t>
    </r>
    <r>
      <rPr>
        <sz val="10"/>
        <rFont val="Arial"/>
        <family val="0"/>
      </rPr>
      <t>(lbs)</t>
    </r>
  </si>
  <si>
    <r>
      <t>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O(lbs)</t>
    </r>
  </si>
  <si>
    <r>
      <t xml:space="preserve">Chemicals </t>
    </r>
    <r>
      <rPr>
        <vertAlign val="superscript"/>
        <sz val="10"/>
        <rFont val="Arial"/>
        <family val="2"/>
      </rPr>
      <t>4</t>
    </r>
  </si>
  <si>
    <r>
      <t xml:space="preserve">Fuel, Oil, Grease </t>
    </r>
    <r>
      <rPr>
        <vertAlign val="superscript"/>
        <sz val="10"/>
        <rFont val="Arial"/>
        <family val="2"/>
      </rPr>
      <t>5</t>
    </r>
  </si>
  <si>
    <r>
      <t xml:space="preserve">Repairs </t>
    </r>
    <r>
      <rPr>
        <vertAlign val="superscript"/>
        <sz val="10"/>
        <rFont val="Arial"/>
        <family val="2"/>
      </rPr>
      <t>6</t>
    </r>
  </si>
  <si>
    <r>
      <t xml:space="preserve">Miscellaneous </t>
    </r>
    <r>
      <rPr>
        <vertAlign val="superscript"/>
        <sz val="10"/>
        <rFont val="Arial"/>
        <family val="2"/>
      </rPr>
      <t>7</t>
    </r>
  </si>
  <si>
    <r>
      <t>Int. on Oper. Cap.</t>
    </r>
    <r>
      <rPr>
        <vertAlign val="superscript"/>
        <sz val="10"/>
        <rFont val="Arial"/>
        <family val="2"/>
      </rPr>
      <t xml:space="preserve"> 8</t>
    </r>
  </si>
  <si>
    <r>
      <t xml:space="preserve">Hired Labor </t>
    </r>
    <r>
      <rPr>
        <vertAlign val="superscript"/>
        <sz val="10"/>
        <rFont val="Arial"/>
        <family val="2"/>
      </rPr>
      <t>9</t>
    </r>
  </si>
  <si>
    <r>
      <t xml:space="preserve">Labor Charge </t>
    </r>
    <r>
      <rPr>
        <vertAlign val="superscript"/>
        <sz val="10"/>
        <rFont val="Arial"/>
        <family val="2"/>
      </rPr>
      <t>9</t>
    </r>
  </si>
  <si>
    <r>
      <t>Mach. And Equip. Charge</t>
    </r>
    <r>
      <rPr>
        <vertAlign val="superscript"/>
        <sz val="10"/>
        <rFont val="Arial"/>
        <family val="2"/>
      </rPr>
      <t xml:space="preserve"> 10</t>
    </r>
  </si>
  <si>
    <r>
      <t xml:space="preserve">Land Charge </t>
    </r>
    <r>
      <rPr>
        <vertAlign val="superscript"/>
        <sz val="10"/>
        <rFont val="Arial"/>
        <family val="2"/>
      </rPr>
      <t>11</t>
    </r>
  </si>
  <si>
    <r>
      <t xml:space="preserve">RETURN TO LABOR AND MANAGEMENT </t>
    </r>
    <r>
      <rPr>
        <b/>
        <vertAlign val="superscript"/>
        <sz val="10"/>
        <rFont val="Arial"/>
        <family val="2"/>
      </rPr>
      <t>12</t>
    </r>
  </si>
  <si>
    <r>
      <t xml:space="preserve">Mach. &amp; Equip. Charge </t>
    </r>
    <r>
      <rPr>
        <vertAlign val="superscript"/>
        <sz val="10"/>
        <rFont val="Arial"/>
        <family val="2"/>
      </rPr>
      <t>10</t>
    </r>
  </si>
  <si>
    <r>
      <t>RETURN TO LABOR AND MANAGEMENT (Straw Only)</t>
    </r>
    <r>
      <rPr>
        <b/>
        <vertAlign val="superscript"/>
        <sz val="10"/>
        <rFont val="Arial"/>
        <family val="2"/>
      </rPr>
      <t>12</t>
    </r>
  </si>
  <si>
    <r>
      <t xml:space="preserve">LDP </t>
    </r>
    <r>
      <rPr>
        <vertAlign val="superscript"/>
        <sz val="10"/>
        <rFont val="Arial"/>
        <family val="2"/>
      </rPr>
      <t>2</t>
    </r>
  </si>
  <si>
    <t>DP Yields</t>
  </si>
  <si>
    <r>
      <t xml:space="preserve">Direct Payment </t>
    </r>
    <r>
      <rPr>
        <vertAlign val="superscript"/>
        <sz val="10"/>
        <rFont val="Arial"/>
        <family val="2"/>
      </rPr>
      <t>3</t>
    </r>
  </si>
  <si>
    <t>CC Yields</t>
  </si>
  <si>
    <r>
      <t xml:space="preserve">C.C. Payment </t>
    </r>
    <r>
      <rPr>
        <vertAlign val="superscript"/>
        <sz val="10"/>
        <rFont val="Arial"/>
        <family val="2"/>
      </rPr>
      <t>3</t>
    </r>
  </si>
  <si>
    <t>LDP is calculated as loan rate minus market price. LDP is 0 if market price is greater than loan rate.</t>
  </si>
  <si>
    <t>(Direct payments are paid only on 85% of base acres.) Direct payment yields are calculated as 85%,</t>
  </si>
  <si>
    <t>Counter Cyclical Payments (CCP) are calculated and included when market price + DP is less than</t>
  </si>
  <si>
    <t xml:space="preserve">Direct Payments (DP) are calculated by multiplying DP Yields by 85% by the DP Price of $0.52/bu. </t>
  </si>
  <si>
    <t>Author: Barry Ward, Leader Production Business Management</t>
  </si>
  <si>
    <t>Special Thanks to Robert Moore, former Extension Associate for authoring previous versions.</t>
  </si>
  <si>
    <t>the Target Price of $3.92/bu. Calculation of the CCP is based on Counter Cyclical (CC) Yield multiplied</t>
  </si>
  <si>
    <t xml:space="preserve">by 85% multiplied by the CCP Rate ((Target Price - (Mkt Price + DP)). CC Yield assumed to be 93.5%of </t>
  </si>
  <si>
    <t>listed yield.</t>
  </si>
  <si>
    <t>Total Wheat Receipts</t>
  </si>
  <si>
    <t>seeds</t>
  </si>
  <si>
    <t>/1000</t>
  </si>
  <si>
    <t>23 ft. Field Cultivator</t>
  </si>
  <si>
    <t>Combine 220 HP</t>
  </si>
  <si>
    <t>20' Grain Head</t>
  </si>
  <si>
    <t>Semi Tractor Trailer**</t>
  </si>
  <si>
    <t>50 ft. Boom Sprayer</t>
  </si>
  <si>
    <t>***</t>
  </si>
  <si>
    <t xml:space="preserve">Machinery and Equipment charge = </t>
  </si>
  <si>
    <t>Hay Rake (Hyd) 9 ft.</t>
  </si>
  <si>
    <t>Hay Baler PTO Twine 12 ft.</t>
  </si>
  <si>
    <t>Hay Wagon - 2</t>
  </si>
  <si>
    <t xml:space="preserve">Machines are all assumed to be new and in the first year of use (except for Semi Tractor-Trailer and Pickup-Truck). </t>
  </si>
  <si>
    <t>2005 WHEAT PRODUCTION BUDGET</t>
  </si>
  <si>
    <t xml:space="preserve">Based on use of 2,4-D and Banvel. Consult "Weed Control Guide for Ohio Field Crops 2005 Edition" </t>
  </si>
  <si>
    <t>Price is based on $3.25 July Futures minus 0.15 basis</t>
  </si>
  <si>
    <t>See tables below for specific calculations. Lubrication costs are assumed to be 10% of fuel costs.</t>
  </si>
  <si>
    <t>Crop Insurance</t>
  </si>
  <si>
    <r>
      <t xml:space="preserve">Wheat (Grain Only) </t>
    </r>
    <r>
      <rPr>
        <vertAlign val="superscript"/>
        <sz val="10"/>
        <rFont val="Arial"/>
        <family val="2"/>
      </rPr>
      <t>1</t>
    </r>
  </si>
  <si>
    <t>80%, and 80% of the listed yields 50/bushels per acre (bpa), 65/bpa, and 80/bpa, respectively.</t>
  </si>
  <si>
    <t>Bulletin 789 for specific recommendations.</t>
  </si>
  <si>
    <t xml:space="preserve">Includes supplies, utilities, soil tests, small tools, etc… </t>
  </si>
  <si>
    <t>Average based on 2005 data.  Land charges vary throughout the state, check your local rates.</t>
  </si>
  <si>
    <t>Reflects 1500 acres, conservation tillage. Wheat grown 1 out of 5 years. See tables below for specific calculations.</t>
  </si>
  <si>
    <t xml:space="preserve">and 20 CEC. Prices were quoted in January, 2005.  Fertilizer prices vary over time and by area.  </t>
  </si>
  <si>
    <t>Fertilizer amounts and costs listed are amounts in addition to fertilizer amounts listed for wheat.</t>
  </si>
  <si>
    <t>Returns do not account for incresed returns to corn and soybeans as a result of wheat in the rotation.</t>
  </si>
  <si>
    <t>Machinery Cost</t>
  </si>
  <si>
    <t>Acres per Year</t>
  </si>
  <si>
    <t>Cost per Acre</t>
  </si>
  <si>
    <t>Acres/ Hr</t>
  </si>
  <si>
    <t>23 ft. Chisel Plow</t>
  </si>
  <si>
    <t>8 Row Planter</t>
  </si>
  <si>
    <t>Pickup Truck (1/2)**</t>
  </si>
  <si>
    <t>Fuel</t>
  </si>
  <si>
    <t>Machinery and Equipment Charge per Acre</t>
  </si>
  <si>
    <t>F&amp;L</t>
  </si>
  <si>
    <t>Repairs</t>
  </si>
  <si>
    <t xml:space="preserve">including corn and soybeans) multiplied by the number of times used per year </t>
  </si>
  <si>
    <t>multiplied by 15% (Fixed Costs Rate for Farm Machinery).</t>
  </si>
  <si>
    <t xml:space="preserve">TOTAL COSTS (Straw Only)- Per Acre </t>
  </si>
  <si>
    <t>TOTAL VARIABLE COSTS- Per Acre</t>
  </si>
  <si>
    <t>Machinery Inventory - Wheat Only</t>
  </si>
  <si>
    <t>**Semi Tractor Trailer and Pickup Truck are assumed to be used equipment.</t>
  </si>
  <si>
    <t>***Fuel for Semi is included in Budget as Trucking - Fuel Only</t>
  </si>
  <si>
    <t xml:space="preserve">Cost per Acre = Machinery Cost (New Cost) divided by Acres per Year (number of acres equipment will cover per year </t>
  </si>
  <si>
    <t xml:space="preserve">Interest on all variable costs, except trucking, for 8 months at 6.5% interest rate. </t>
  </si>
  <si>
    <t>/gal Dies.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</si>
</sst>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$&quot;#,##0"/>
    <numFmt numFmtId="167" formatCode="0_);[Red]\(0\)"/>
    <numFmt numFmtId="168" formatCode="0.00_);[Red]\(0.00\)"/>
    <numFmt numFmtId="169" formatCode="0.000"/>
    <numFmt numFmtId="170" formatCode="0.00000"/>
    <numFmt numFmtId="171" formatCode="0.0000000"/>
    <numFmt numFmtId="172" formatCode="0.0%"/>
    <numFmt numFmtId="173" formatCode="_(&quot;$&quot;* #,##0.0_);_(&quot;$&quot;* \(#,##0.0\);_(&quot;$&quot;* &quot;-&quot;??_);_(@_)"/>
    <numFmt numFmtId="174" formatCode="_(&quot;$&quot;* #,##0_);_(&quot;$&quot;* \(#,##0\);_(&quot;$&quot;* &quot;-&quot;??_);_(@_)"/>
    <numFmt numFmtId="175" formatCode="_(* #,##0.0_);_(* \(#,##0.0\);_(* &quot;-&quot;??_);_(@_)"/>
    <numFmt numFmtId="176" formatCode="_(* #,##0_);_(* \(#,##0\);_(* &quot;-&quot;??_);_(@_)"/>
    <numFmt numFmtId="177" formatCode="&quot;$&quot;#,##0.0"/>
    <numFmt numFmtId="178" formatCode="#,##0.0"/>
    <numFmt numFmtId="179" formatCode="0.0000"/>
    <numFmt numFmtId="180" formatCode="0.0000000000000"/>
    <numFmt numFmtId="181" formatCode="0.000000"/>
    <numFmt numFmtId="182" formatCode="0.000000000000"/>
    <numFmt numFmtId="183" formatCode="0.00000000000"/>
    <numFmt numFmtId="184" formatCode="0.0000000000"/>
    <numFmt numFmtId="185" formatCode="0.000000000"/>
    <numFmt numFmtId="186" formatCode="0.00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0;[Red]0.00"/>
    <numFmt numFmtId="191" formatCode="0.0;[Red]0.0"/>
    <numFmt numFmtId="192" formatCode="0;[Red]0"/>
    <numFmt numFmtId="193" formatCode="&quot;$&quot;#,##0.0_);\(&quot;$&quot;#,##0.0\)"/>
    <numFmt numFmtId="194" formatCode="0_);\(0\)"/>
    <numFmt numFmtId="195" formatCode="0.0_);[Red]\(0.0\)"/>
    <numFmt numFmtId="196" formatCode="#,##0.0_);\(#,##0.0\)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vertAlign val="superscript"/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thin"/>
      <bottom style="mediumDash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0" fontId="4" fillId="0" borderId="2" xfId="0" applyFont="1" applyBorder="1" applyAlignment="1">
      <alignment/>
    </xf>
    <xf numFmtId="1" fontId="4" fillId="0" borderId="2" xfId="0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2" xfId="0" applyBorder="1" applyAlignment="1">
      <alignment/>
    </xf>
    <xf numFmtId="1" fontId="0" fillId="0" borderId="0" xfId="0" applyNumberFormat="1" applyAlignment="1">
      <alignment/>
    </xf>
    <xf numFmtId="0" fontId="0" fillId="0" borderId="3" xfId="0" applyBorder="1" applyAlignment="1">
      <alignment/>
    </xf>
    <xf numFmtId="172" fontId="0" fillId="0" borderId="0" xfId="0" applyNumberFormat="1" applyAlignment="1">
      <alignment/>
    </xf>
    <xf numFmtId="1" fontId="0" fillId="0" borderId="4" xfId="0" applyNumberFormat="1" applyBorder="1" applyAlignment="1" quotePrefix="1">
      <alignment/>
    </xf>
    <xf numFmtId="0" fontId="0" fillId="0" borderId="4" xfId="0" applyBorder="1" applyAlignment="1">
      <alignment/>
    </xf>
    <xf numFmtId="0" fontId="4" fillId="0" borderId="0" xfId="0" applyFont="1" applyAlignment="1" quotePrefix="1">
      <alignment/>
    </xf>
    <xf numFmtId="0" fontId="0" fillId="0" borderId="0" xfId="0" applyBorder="1" applyAlignment="1">
      <alignment/>
    </xf>
    <xf numFmtId="9" fontId="0" fillId="0" borderId="0" xfId="21" applyAlignment="1">
      <alignment/>
    </xf>
    <xf numFmtId="167" fontId="0" fillId="0" borderId="0" xfId="0" applyNumberFormat="1" applyAlignment="1">
      <alignment/>
    </xf>
    <xf numFmtId="0" fontId="0" fillId="0" borderId="5" xfId="0" applyBorder="1" applyAlignment="1">
      <alignment/>
    </xf>
    <xf numFmtId="1" fontId="0" fillId="0" borderId="5" xfId="0" applyNumberFormat="1" applyBorder="1" applyAlignment="1">
      <alignment/>
    </xf>
    <xf numFmtId="1" fontId="0" fillId="0" borderId="2" xfId="0" applyNumberFormat="1" applyBorder="1" applyAlignment="1">
      <alignment/>
    </xf>
    <xf numFmtId="1" fontId="0" fillId="0" borderId="0" xfId="0" applyNumberForma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7" fillId="0" borderId="2" xfId="0" applyFont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8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9" fontId="0" fillId="0" borderId="0" xfId="21" applyFont="1" applyAlignment="1">
      <alignment horizontal="right"/>
    </xf>
    <xf numFmtId="176" fontId="0" fillId="0" borderId="0" xfId="15" applyNumberFormat="1" applyFont="1" applyAlignment="1">
      <alignment/>
    </xf>
    <xf numFmtId="2" fontId="4" fillId="0" borderId="0" xfId="0" applyNumberFormat="1" applyFont="1" applyAlignment="1">
      <alignment/>
    </xf>
    <xf numFmtId="166" fontId="4" fillId="0" borderId="0" xfId="0" applyNumberFormat="1" applyFont="1" applyAlignment="1">
      <alignment horizontal="right"/>
    </xf>
    <xf numFmtId="7" fontId="4" fillId="0" borderId="0" xfId="17" applyNumberFormat="1" applyFont="1" applyAlignment="1">
      <alignment/>
    </xf>
    <xf numFmtId="176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 quotePrefix="1">
      <alignment horizontal="left"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5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2" fontId="10" fillId="0" borderId="0" xfId="0" applyNumberFormat="1" applyFont="1" applyAlignment="1">
      <alignment/>
    </xf>
    <xf numFmtId="3" fontId="0" fillId="0" borderId="0" xfId="0" applyNumberFormat="1" applyAlignment="1">
      <alignment/>
    </xf>
    <xf numFmtId="169" fontId="0" fillId="0" borderId="0" xfId="0" applyNumberFormat="1" applyAlignment="1">
      <alignment/>
    </xf>
    <xf numFmtId="176" fontId="10" fillId="0" borderId="0" xfId="15" applyNumberFormat="1" applyFont="1" applyAlignment="1">
      <alignment/>
    </xf>
    <xf numFmtId="166" fontId="0" fillId="0" borderId="0" xfId="0" applyNumberFormat="1" applyBorder="1" applyAlignment="1">
      <alignment horizontal="center"/>
    </xf>
    <xf numFmtId="164" fontId="0" fillId="0" borderId="0" xfId="0" applyNumberFormat="1" applyAlignment="1">
      <alignment/>
    </xf>
    <xf numFmtId="2" fontId="0" fillId="0" borderId="2" xfId="0" applyNumberFormat="1" applyBorder="1" applyAlignment="1">
      <alignment/>
    </xf>
    <xf numFmtId="165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right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166" fontId="10" fillId="0" borderId="0" xfId="0" applyNumberFormat="1" applyFont="1" applyFill="1" applyAlignment="1">
      <alignment horizontal="center"/>
    </xf>
    <xf numFmtId="3" fontId="10" fillId="0" borderId="0" xfId="0" applyNumberFormat="1" applyFont="1" applyFill="1" applyAlignment="1">
      <alignment horizontal="center"/>
    </xf>
    <xf numFmtId="164" fontId="10" fillId="0" borderId="0" xfId="0" applyNumberFormat="1" applyFont="1" applyAlignment="1">
      <alignment horizontal="center"/>
    </xf>
    <xf numFmtId="2" fontId="10" fillId="0" borderId="0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2" fontId="10" fillId="0" borderId="0" xfId="0" applyNumberFormat="1" applyFont="1" applyAlignment="1">
      <alignment horizontal="center"/>
    </xf>
    <xf numFmtId="166" fontId="10" fillId="0" borderId="0" xfId="0" applyNumberFormat="1" applyFont="1" applyAlignment="1">
      <alignment horizontal="center"/>
    </xf>
    <xf numFmtId="166" fontId="10" fillId="0" borderId="2" xfId="17" applyNumberFormat="1" applyFont="1" applyFill="1" applyBorder="1" applyAlignment="1">
      <alignment horizontal="center"/>
    </xf>
    <xf numFmtId="3" fontId="10" fillId="0" borderId="2" xfId="17" applyNumberFormat="1" applyFont="1" applyFill="1" applyBorder="1" applyAlignment="1">
      <alignment horizontal="center"/>
    </xf>
    <xf numFmtId="2" fontId="10" fillId="0" borderId="2" xfId="0" applyNumberFormat="1" applyFont="1" applyBorder="1" applyAlignment="1">
      <alignment horizontal="center"/>
    </xf>
    <xf numFmtId="39" fontId="10" fillId="0" borderId="2" xfId="0" applyNumberFormat="1" applyFont="1" applyBorder="1" applyAlignment="1">
      <alignment horizontal="center"/>
    </xf>
    <xf numFmtId="9" fontId="10" fillId="0" borderId="0" xfId="21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176" fontId="12" fillId="0" borderId="0" xfId="15" applyNumberFormat="1" applyFont="1" applyAlignment="1">
      <alignment horizontal="center"/>
    </xf>
    <xf numFmtId="165" fontId="12" fillId="0" borderId="0" xfId="0" applyNumberFormat="1" applyFont="1" applyAlignment="1">
      <alignment horizontal="center"/>
    </xf>
    <xf numFmtId="9" fontId="12" fillId="0" borderId="0" xfId="21" applyFont="1" applyAlignment="1">
      <alignment horizontal="right"/>
    </xf>
    <xf numFmtId="9" fontId="10" fillId="0" borderId="0" xfId="21" applyFont="1" applyAlignment="1">
      <alignment horizontal="right"/>
    </xf>
    <xf numFmtId="2" fontId="12" fillId="0" borderId="0" xfId="0" applyNumberFormat="1" applyFont="1" applyAlignment="1">
      <alignment/>
    </xf>
    <xf numFmtId="176" fontId="12" fillId="0" borderId="0" xfId="0" applyNumberFormat="1" applyFont="1" applyAlignment="1">
      <alignment horizontal="right"/>
    </xf>
    <xf numFmtId="7" fontId="12" fillId="0" borderId="0" xfId="17" applyNumberFormat="1" applyFont="1" applyAlignment="1">
      <alignment/>
    </xf>
    <xf numFmtId="0" fontId="10" fillId="0" borderId="0" xfId="0" applyNumberFormat="1" applyFont="1" applyAlignment="1">
      <alignment horizontal="center"/>
    </xf>
    <xf numFmtId="165" fontId="10" fillId="0" borderId="0" xfId="0" applyNumberFormat="1" applyFont="1" applyAlignment="1">
      <alignment horizontal="center"/>
    </xf>
    <xf numFmtId="0" fontId="10" fillId="0" borderId="2" xfId="0" applyFont="1" applyBorder="1" applyAlignment="1">
      <alignment horizontal="center" wrapText="1"/>
    </xf>
    <xf numFmtId="164" fontId="10" fillId="0" borderId="2" xfId="0" applyNumberFormat="1" applyFont="1" applyBorder="1" applyAlignment="1">
      <alignment horizontal="center"/>
    </xf>
    <xf numFmtId="165" fontId="10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165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166" fontId="10" fillId="0" borderId="0" xfId="0" applyNumberFormat="1" applyFont="1" applyAlignment="1">
      <alignment horizontal="center"/>
    </xf>
    <xf numFmtId="166" fontId="10" fillId="0" borderId="2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 quotePrefix="1">
      <alignment horizontal="left"/>
    </xf>
    <xf numFmtId="0" fontId="0" fillId="0" borderId="6" xfId="0" applyBorder="1" applyAlignment="1">
      <alignment/>
    </xf>
    <xf numFmtId="2" fontId="12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28575</xdr:rowOff>
    </xdr:from>
    <xdr:to>
      <xdr:col>2</xdr:col>
      <xdr:colOff>390525</xdr:colOff>
      <xdr:row>4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7048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6"/>
  <sheetViews>
    <sheetView tabSelected="1" view="pageBreakPreview" zoomScaleSheetLayoutView="100" workbookViewId="0" topLeftCell="A1">
      <selection activeCell="C1" sqref="C1:L1"/>
    </sheetView>
  </sheetViews>
  <sheetFormatPr defaultColWidth="9.140625" defaultRowHeight="12.75"/>
  <cols>
    <col min="1" max="2" width="2.7109375" style="0" customWidth="1"/>
    <col min="6" max="6" width="10.140625" style="0" bestFit="1" customWidth="1"/>
    <col min="7" max="7" width="9.28125" style="0" bestFit="1" customWidth="1"/>
    <col min="8" max="8" width="8.00390625" style="0" customWidth="1"/>
    <col min="9" max="9" width="7.8515625" style="0" customWidth="1"/>
    <col min="10" max="11" width="7.00390625" style="1" customWidth="1"/>
    <col min="12" max="12" width="6.7109375" style="1" customWidth="1"/>
    <col min="13" max="13" width="1.57421875" style="0" customWidth="1"/>
    <col min="14" max="14" width="8.00390625" style="0" customWidth="1"/>
  </cols>
  <sheetData>
    <row r="1" spans="3:12" ht="15.75">
      <c r="C1" s="109" t="s">
        <v>98</v>
      </c>
      <c r="D1" s="109"/>
      <c r="E1" s="109"/>
      <c r="F1" s="109"/>
      <c r="G1" s="109"/>
      <c r="H1" s="109"/>
      <c r="I1" s="109"/>
      <c r="J1" s="109"/>
      <c r="K1" s="109"/>
      <c r="L1" s="109"/>
    </row>
    <row r="2" spans="3:14" ht="12.75">
      <c r="C2" s="110" t="s">
        <v>0</v>
      </c>
      <c r="D2" s="110"/>
      <c r="E2" s="110"/>
      <c r="F2" s="110"/>
      <c r="G2" s="110"/>
      <c r="H2" s="110"/>
      <c r="I2" s="110"/>
      <c r="J2" s="110"/>
      <c r="K2" s="110"/>
      <c r="L2" s="110"/>
      <c r="N2" s="2"/>
    </row>
    <row r="3" spans="4:5" ht="12.75">
      <c r="D3" s="30"/>
      <c r="E3" s="30" t="s">
        <v>79</v>
      </c>
    </row>
    <row r="4" ht="15.75" customHeight="1">
      <c r="D4" s="30" t="s">
        <v>80</v>
      </c>
    </row>
    <row r="5" spans="3:12" ht="15.75" customHeight="1">
      <c r="C5" s="3"/>
      <c r="D5" s="3"/>
      <c r="E5" s="3"/>
      <c r="F5" s="3"/>
      <c r="G5" s="3"/>
      <c r="H5" s="3"/>
      <c r="I5" s="3"/>
      <c r="J5" s="3"/>
      <c r="K5" s="3"/>
      <c r="L5" s="3"/>
    </row>
    <row r="6" spans="1:14" s="6" customFormat="1" ht="12.75">
      <c r="A6" s="106" t="s">
        <v>1</v>
      </c>
      <c r="B6" s="106"/>
      <c r="C6" s="106"/>
      <c r="D6" s="106"/>
      <c r="F6" s="106" t="s">
        <v>2</v>
      </c>
      <c r="G6" s="106"/>
      <c r="H6" s="106" t="s">
        <v>3</v>
      </c>
      <c r="I6" s="106"/>
      <c r="J6" s="111" t="s">
        <v>4</v>
      </c>
      <c r="K6" s="111"/>
      <c r="L6" s="111"/>
      <c r="N6" s="5" t="s">
        <v>5</v>
      </c>
    </row>
    <row r="7" spans="8:14" s="7" customFormat="1" ht="12.75">
      <c r="H7" s="112" t="s">
        <v>6</v>
      </c>
      <c r="I7" s="112"/>
      <c r="J7" s="9"/>
      <c r="K7" s="9"/>
      <c r="L7" s="9"/>
      <c r="N7" s="8" t="s">
        <v>7</v>
      </c>
    </row>
    <row r="8" spans="10:14" s="10" customFormat="1" ht="12.75">
      <c r="J8" s="11">
        <v>50</v>
      </c>
      <c r="K8" s="11">
        <v>65</v>
      </c>
      <c r="L8" s="11">
        <v>80</v>
      </c>
      <c r="N8" s="12"/>
    </row>
    <row r="9" ht="12.75">
      <c r="A9" s="4" t="s">
        <v>8</v>
      </c>
    </row>
    <row r="10" spans="2:14" ht="14.25">
      <c r="B10" t="s">
        <v>103</v>
      </c>
      <c r="H10" s="13">
        <v>3.1</v>
      </c>
      <c r="I10" t="s">
        <v>9</v>
      </c>
      <c r="J10" s="14">
        <f>+$H$10*J8</f>
        <v>155</v>
      </c>
      <c r="K10" s="14">
        <f>+$H$10*K8</f>
        <v>201.5</v>
      </c>
      <c r="L10" s="14">
        <f>+$H$10*L8</f>
        <v>248</v>
      </c>
      <c r="N10" s="15"/>
    </row>
    <row r="11" spans="2:14" ht="14.25">
      <c r="B11" s="30" t="s">
        <v>70</v>
      </c>
      <c r="C11" s="30"/>
      <c r="D11" s="30"/>
      <c r="E11" s="30"/>
      <c r="G11" s="30"/>
      <c r="H11" s="51">
        <v>0</v>
      </c>
      <c r="I11" s="30"/>
      <c r="J11" s="52">
        <v>0</v>
      </c>
      <c r="K11" s="52">
        <v>0</v>
      </c>
      <c r="L11" s="52">
        <v>0</v>
      </c>
      <c r="N11" s="17"/>
    </row>
    <row r="12" spans="2:14" ht="12.75">
      <c r="B12" s="30"/>
      <c r="C12" s="30"/>
      <c r="D12" s="30"/>
      <c r="E12" s="30"/>
      <c r="F12" s="30" t="s">
        <v>71</v>
      </c>
      <c r="G12" s="30"/>
      <c r="H12" s="51"/>
      <c r="I12" s="30"/>
      <c r="J12" s="52"/>
      <c r="K12" s="52"/>
      <c r="L12" s="52"/>
      <c r="N12" s="22"/>
    </row>
    <row r="13" spans="2:14" ht="14.25">
      <c r="B13" s="30" t="s">
        <v>72</v>
      </c>
      <c r="C13" s="30"/>
      <c r="D13" s="30"/>
      <c r="E13" s="36">
        <f>J8*0.85</f>
        <v>42.5</v>
      </c>
      <c r="F13" s="36">
        <f>K8*0.8</f>
        <v>52</v>
      </c>
      <c r="G13" s="36">
        <f>L8*0.8</f>
        <v>64</v>
      </c>
      <c r="H13" s="51">
        <v>0.52</v>
      </c>
      <c r="I13" s="37"/>
      <c r="J13" s="52">
        <f>E13*$H$13*0.85</f>
        <v>18.785</v>
      </c>
      <c r="K13" s="52">
        <f>F13*$H$13*0.85</f>
        <v>22.983999999999998</v>
      </c>
      <c r="L13" s="52">
        <f>G13*$H$13*0.85</f>
        <v>28.288</v>
      </c>
      <c r="N13" s="15"/>
    </row>
    <row r="14" spans="2:14" ht="12.75">
      <c r="B14" s="30"/>
      <c r="C14" s="30"/>
      <c r="D14" s="30"/>
      <c r="E14" s="37"/>
      <c r="F14" s="37" t="s">
        <v>73</v>
      </c>
      <c r="G14" s="37"/>
      <c r="H14" s="51"/>
      <c r="I14" s="30"/>
      <c r="J14" s="52"/>
      <c r="K14" s="52"/>
      <c r="L14" s="52"/>
      <c r="N14" s="22"/>
    </row>
    <row r="15" spans="2:14" ht="14.25">
      <c r="B15" s="30" t="s">
        <v>74</v>
      </c>
      <c r="C15" s="30"/>
      <c r="D15" s="30"/>
      <c r="E15" s="36">
        <f>J8*0.935</f>
        <v>46.75</v>
      </c>
      <c r="F15" s="36">
        <f>K8*0.935</f>
        <v>60.775000000000006</v>
      </c>
      <c r="G15" s="36">
        <f>L8*0.935</f>
        <v>74.80000000000001</v>
      </c>
      <c r="H15" s="51">
        <v>0.3</v>
      </c>
      <c r="I15" s="37"/>
      <c r="J15" s="52">
        <f>E15*$H$15*0.85</f>
        <v>11.92125</v>
      </c>
      <c r="K15" s="52">
        <f>F15*$H$15*0.85</f>
        <v>15.497625000000001</v>
      </c>
      <c r="L15" s="52">
        <f>G15*$H$15*0.85</f>
        <v>19.074</v>
      </c>
      <c r="N15" s="15"/>
    </row>
    <row r="16" spans="2:14" ht="12.75">
      <c r="B16" s="30"/>
      <c r="C16" s="30"/>
      <c r="D16" s="30"/>
      <c r="E16" s="37"/>
      <c r="F16" s="37"/>
      <c r="G16" s="37"/>
      <c r="H16" s="51"/>
      <c r="I16" s="37"/>
      <c r="J16" s="52"/>
      <c r="K16" s="52"/>
      <c r="L16" s="52"/>
      <c r="N16" s="22"/>
    </row>
    <row r="17" spans="1:14" ht="12.75">
      <c r="A17" s="4" t="s">
        <v>84</v>
      </c>
      <c r="B17" s="30"/>
      <c r="C17" s="30"/>
      <c r="D17" s="30"/>
      <c r="E17" s="37"/>
      <c r="F17" s="37"/>
      <c r="G17" s="37"/>
      <c r="H17" s="51"/>
      <c r="I17" s="37"/>
      <c r="J17" s="52">
        <f>SUM(J10:J15)</f>
        <v>185.70625</v>
      </c>
      <c r="K17" s="52">
        <f>SUM(K10:K15)</f>
        <v>239.981625</v>
      </c>
      <c r="L17" s="52">
        <f>SUM(L10:L15)</f>
        <v>295.362</v>
      </c>
      <c r="N17" s="15"/>
    </row>
    <row r="18" spans="1:14" ht="12.75">
      <c r="A18" s="4" t="s">
        <v>10</v>
      </c>
      <c r="J18" s="16"/>
      <c r="K18" s="16"/>
      <c r="L18" s="16"/>
      <c r="N18" s="22"/>
    </row>
    <row r="19" spans="2:14" ht="12.75">
      <c r="B19" t="s">
        <v>11</v>
      </c>
      <c r="F19" s="56">
        <v>1400000</v>
      </c>
      <c r="G19" t="s">
        <v>85</v>
      </c>
      <c r="H19" s="57">
        <v>0.0144</v>
      </c>
      <c r="I19" t="s">
        <v>86</v>
      </c>
      <c r="J19" s="16">
        <f>$F$19/1000*$H$19</f>
        <v>20.16</v>
      </c>
      <c r="K19" s="16">
        <f>$F$19/1000*$H$19</f>
        <v>20.16</v>
      </c>
      <c r="L19" s="16">
        <f>$F$19/1000*$H$19</f>
        <v>20.16</v>
      </c>
      <c r="N19" s="15"/>
    </row>
    <row r="20" spans="2:14" ht="14.25">
      <c r="B20" t="s">
        <v>55</v>
      </c>
      <c r="I20" t="s">
        <v>85</v>
      </c>
      <c r="J20" s="16"/>
      <c r="K20" s="16"/>
      <c r="L20" s="16"/>
      <c r="N20" s="22"/>
    </row>
    <row r="21" spans="3:14" ht="12.75">
      <c r="C21" t="s">
        <v>13</v>
      </c>
      <c r="E21" s="60">
        <f>40+(1.75*(J8-50))</f>
        <v>40</v>
      </c>
      <c r="F21" s="60">
        <f>40+(1.75*(K8-50))</f>
        <v>66.25</v>
      </c>
      <c r="G21" s="60">
        <f>40+(1.75*(L8-50))</f>
        <v>92.5</v>
      </c>
      <c r="H21">
        <v>0.26</v>
      </c>
      <c r="I21" t="s">
        <v>12</v>
      </c>
      <c r="J21" s="16">
        <f>+$H$21*E21</f>
        <v>10.4</v>
      </c>
      <c r="K21" s="16">
        <f>+$H$21*F21</f>
        <v>17.225</v>
      </c>
      <c r="L21" s="16">
        <f>+$H$21*G21</f>
        <v>24.05</v>
      </c>
      <c r="N21" s="15"/>
    </row>
    <row r="22" spans="3:14" ht="15.75">
      <c r="C22" t="s">
        <v>56</v>
      </c>
      <c r="E22" s="60">
        <f>J8*0.63</f>
        <v>31.5</v>
      </c>
      <c r="F22" s="60">
        <f>K8*0.63</f>
        <v>40.95</v>
      </c>
      <c r="G22" s="60">
        <f>L8*0.63</f>
        <v>50.4</v>
      </c>
      <c r="H22">
        <v>0.3</v>
      </c>
      <c r="I22" t="s">
        <v>12</v>
      </c>
      <c r="J22" s="16">
        <f>+$H$22*E22</f>
        <v>9.45</v>
      </c>
      <c r="K22" s="16">
        <f>+$H$22*F22</f>
        <v>12.285</v>
      </c>
      <c r="L22" s="16">
        <f>+$H$22*G22</f>
        <v>15.12</v>
      </c>
      <c r="N22" s="17"/>
    </row>
    <row r="23" spans="3:14" ht="15.75">
      <c r="C23" t="s">
        <v>57</v>
      </c>
      <c r="E23" s="60">
        <f>(J8*0.37)+20</f>
        <v>38.5</v>
      </c>
      <c r="F23" s="60">
        <f>(K8*0.37)+20</f>
        <v>44.05</v>
      </c>
      <c r="G23" s="60">
        <f>(L8*0.37)+20</f>
        <v>49.6</v>
      </c>
      <c r="H23">
        <v>0.18</v>
      </c>
      <c r="I23" t="s">
        <v>12</v>
      </c>
      <c r="J23" s="16">
        <f>+$H$23*E23</f>
        <v>6.93</v>
      </c>
      <c r="K23" s="16">
        <f>+$H$23*F23</f>
        <v>7.928999999999999</v>
      </c>
      <c r="L23" s="16">
        <f>+$H$23*G23</f>
        <v>8.927999999999999</v>
      </c>
      <c r="N23" s="22"/>
    </row>
    <row r="24" spans="3:14" ht="12.75">
      <c r="C24" t="s">
        <v>14</v>
      </c>
      <c r="F24">
        <v>0.25</v>
      </c>
      <c r="H24">
        <v>22</v>
      </c>
      <c r="I24" t="s">
        <v>15</v>
      </c>
      <c r="J24" s="16">
        <f>+F24*H24</f>
        <v>5.5</v>
      </c>
      <c r="K24" s="16">
        <f>+F24*H24</f>
        <v>5.5</v>
      </c>
      <c r="L24" s="16">
        <f>+F24*H24</f>
        <v>5.5</v>
      </c>
      <c r="N24" s="17"/>
    </row>
    <row r="25" spans="2:14" ht="14.25">
      <c r="B25" t="s">
        <v>58</v>
      </c>
      <c r="J25" s="16">
        <v>6.86</v>
      </c>
      <c r="K25" s="16">
        <v>6.86</v>
      </c>
      <c r="L25" s="16">
        <v>6.86</v>
      </c>
      <c r="N25" s="22"/>
    </row>
    <row r="26" spans="2:14" ht="12.75">
      <c r="B26" t="s">
        <v>16</v>
      </c>
      <c r="F26" s="51">
        <v>1.85</v>
      </c>
      <c r="G26" s="30" t="s">
        <v>132</v>
      </c>
      <c r="H26" s="51">
        <f>0.038+(10/10*F26/900)</f>
        <v>0.04005555555555555</v>
      </c>
      <c r="I26" s="30" t="s">
        <v>9</v>
      </c>
      <c r="J26" s="16">
        <f>+$H$26*J8</f>
        <v>2.0027777777777778</v>
      </c>
      <c r="K26" s="16">
        <f>+$H$26*K8</f>
        <v>2.603611111111111</v>
      </c>
      <c r="L26" s="16">
        <f>+$H$26*L8</f>
        <v>3.2044444444444444</v>
      </c>
      <c r="N26" s="17"/>
    </row>
    <row r="27" spans="2:14" ht="14.25">
      <c r="B27" t="s">
        <v>59</v>
      </c>
      <c r="J27" s="16">
        <f>$J$113</f>
        <v>6.166050000000001</v>
      </c>
      <c r="K27" s="16">
        <f>$J$113</f>
        <v>6.166050000000001</v>
      </c>
      <c r="L27" s="16">
        <f>$J$113</f>
        <v>6.166050000000001</v>
      </c>
      <c r="N27" s="22"/>
    </row>
    <row r="28" spans="2:14" ht="14.25">
      <c r="B28" t="s">
        <v>60</v>
      </c>
      <c r="J28" s="16">
        <f>+$L$113</f>
        <v>10.83</v>
      </c>
      <c r="K28" s="16">
        <f>+$L$113</f>
        <v>10.83</v>
      </c>
      <c r="L28" s="16">
        <f>+$L$113</f>
        <v>10.83</v>
      </c>
      <c r="N28" s="17"/>
    </row>
    <row r="29" spans="2:14" ht="12.75">
      <c r="B29" t="s">
        <v>102</v>
      </c>
      <c r="J29" s="16">
        <v>5.39</v>
      </c>
      <c r="K29" s="16">
        <v>5.52</v>
      </c>
      <c r="L29" s="16">
        <v>5.87</v>
      </c>
      <c r="N29" s="22"/>
    </row>
    <row r="30" spans="2:14" ht="14.25">
      <c r="B30" t="s">
        <v>61</v>
      </c>
      <c r="J30" s="16">
        <v>6</v>
      </c>
      <c r="K30" s="16">
        <v>6</v>
      </c>
      <c r="L30" s="16">
        <v>6</v>
      </c>
      <c r="N30" s="17"/>
    </row>
    <row r="31" spans="2:14" ht="14.25">
      <c r="B31" t="s">
        <v>62</v>
      </c>
      <c r="E31" s="16"/>
      <c r="F31" s="2">
        <v>8</v>
      </c>
      <c r="G31" t="s">
        <v>17</v>
      </c>
      <c r="H31" s="18">
        <v>0.065</v>
      </c>
      <c r="J31" s="16">
        <f>(SUM(J19:J30)-J26)*$H$31*($F$31/12)</f>
        <v>3.7997288333333334</v>
      </c>
      <c r="K31" s="16">
        <f>(SUM(K19:K30)-K26)*$H$31*($F$31/12)</f>
        <v>4.267252166666666</v>
      </c>
      <c r="L31" s="16">
        <f>(SUM(L19:L30)-L26)*$H$31*($F$31/12)</f>
        <v>4.744308833333333</v>
      </c>
      <c r="N31" s="22"/>
    </row>
    <row r="32" spans="2:14" ht="14.25">
      <c r="B32" t="s">
        <v>63</v>
      </c>
      <c r="J32" s="16">
        <v>0</v>
      </c>
      <c r="K32" s="16">
        <v>0</v>
      </c>
      <c r="L32" s="16">
        <v>0</v>
      </c>
      <c r="N32" s="17"/>
    </row>
    <row r="33" spans="10:14" ht="12.75">
      <c r="J33" s="19"/>
      <c r="K33" s="19"/>
      <c r="L33" s="19"/>
      <c r="M33" s="20"/>
      <c r="N33" s="22"/>
    </row>
    <row r="34" spans="1:14" ht="12.75">
      <c r="A34" s="4" t="s">
        <v>18</v>
      </c>
      <c r="F34" s="21" t="s">
        <v>19</v>
      </c>
      <c r="J34" s="16">
        <f>SUM(J19:J33)</f>
        <v>93.48855661111112</v>
      </c>
      <c r="K34" s="16">
        <f>SUM(K19:K33)</f>
        <v>105.34591327777777</v>
      </c>
      <c r="L34" s="16">
        <f>SUM(L19:L33)</f>
        <v>117.43280327777778</v>
      </c>
      <c r="N34" s="22"/>
    </row>
    <row r="35" spans="6:14" ht="12.75">
      <c r="F35" s="21" t="s">
        <v>20</v>
      </c>
      <c r="J35" s="1">
        <f>+J34/J8</f>
        <v>1.8697711322222224</v>
      </c>
      <c r="K35" s="1">
        <f>+K34/K8</f>
        <v>1.620706358119658</v>
      </c>
      <c r="L35" s="1">
        <f>+L34/L8</f>
        <v>1.4679100409722223</v>
      </c>
      <c r="N35" s="17"/>
    </row>
    <row r="36" spans="1:14" ht="12.75">
      <c r="A36" s="4" t="s">
        <v>21</v>
      </c>
      <c r="J36" s="16"/>
      <c r="K36" s="16"/>
      <c r="L36" s="16"/>
      <c r="N36" s="22"/>
    </row>
    <row r="37" spans="2:14" ht="14.25">
      <c r="B37" t="s">
        <v>64</v>
      </c>
      <c r="F37">
        <v>2</v>
      </c>
      <c r="G37" t="s">
        <v>22</v>
      </c>
      <c r="H37" s="1">
        <v>10</v>
      </c>
      <c r="I37" t="s">
        <v>23</v>
      </c>
      <c r="J37" s="16">
        <f>+$F$37*$H$37</f>
        <v>20</v>
      </c>
      <c r="K37" s="16">
        <f>+$F$37*$H$37</f>
        <v>20</v>
      </c>
      <c r="L37" s="16">
        <f>+$F$37*$H$37</f>
        <v>20</v>
      </c>
      <c r="N37" s="22"/>
    </row>
    <row r="38" spans="2:14" ht="14.25">
      <c r="B38" t="s">
        <v>65</v>
      </c>
      <c r="J38" s="16">
        <f>+$H$113</f>
        <v>48.40660714285714</v>
      </c>
      <c r="K38" s="16">
        <f>+$H$113</f>
        <v>48.40660714285714</v>
      </c>
      <c r="L38" s="16">
        <f>+$H$113</f>
        <v>48.40660714285714</v>
      </c>
      <c r="N38" s="17"/>
    </row>
    <row r="39" spans="2:14" ht="14.25">
      <c r="B39" t="s">
        <v>66</v>
      </c>
      <c r="J39" s="16">
        <v>70</v>
      </c>
      <c r="K39" s="16">
        <v>90</v>
      </c>
      <c r="L39" s="16">
        <v>120</v>
      </c>
      <c r="N39" s="22"/>
    </row>
    <row r="40" spans="2:14" ht="12.75">
      <c r="B40" t="s">
        <v>24</v>
      </c>
      <c r="F40" s="23">
        <v>0.05</v>
      </c>
      <c r="G40" t="s">
        <v>25</v>
      </c>
      <c r="J40" s="16">
        <f>$F$40*J10</f>
        <v>7.75</v>
      </c>
      <c r="K40" s="16">
        <f>$F$40*K10</f>
        <v>10.075000000000001</v>
      </c>
      <c r="L40" s="16">
        <f>$F$40*L10</f>
        <v>12.4</v>
      </c>
      <c r="N40" s="17"/>
    </row>
    <row r="41" spans="10:14" ht="12.75">
      <c r="J41" s="19"/>
      <c r="K41" s="19"/>
      <c r="L41" s="19"/>
      <c r="M41" s="20"/>
      <c r="N41" s="22"/>
    </row>
    <row r="42" spans="1:14" ht="12.75">
      <c r="A42" s="4" t="s">
        <v>26</v>
      </c>
      <c r="J42" s="16">
        <f>SUM(J37:J41)</f>
        <v>146.15660714285713</v>
      </c>
      <c r="K42" s="16">
        <f>SUM(K37:K41)</f>
        <v>168.48160714285711</v>
      </c>
      <c r="L42" s="16">
        <f>SUM(L37:L41)</f>
        <v>200.80660714285713</v>
      </c>
      <c r="N42" s="15"/>
    </row>
    <row r="43" spans="10:14" ht="12.75">
      <c r="J43" s="16"/>
      <c r="K43" s="16"/>
      <c r="L43" s="16"/>
      <c r="N43" s="22"/>
    </row>
    <row r="44" spans="1:14" ht="12.75">
      <c r="A44" s="4" t="s">
        <v>27</v>
      </c>
      <c r="F44" s="21" t="s">
        <v>19</v>
      </c>
      <c r="J44" s="16">
        <f>+J34+J42</f>
        <v>239.64516375396823</v>
      </c>
      <c r="K44" s="16">
        <f>+K34+K42</f>
        <v>273.82752042063487</v>
      </c>
      <c r="L44" s="16">
        <f>+L34+L42</f>
        <v>318.2394104206349</v>
      </c>
      <c r="N44" s="22"/>
    </row>
    <row r="45" spans="1:14" ht="12.75">
      <c r="A45" s="4"/>
      <c r="F45" s="21" t="s">
        <v>20</v>
      </c>
      <c r="J45" s="1">
        <f>+(J42/45)+J35</f>
        <v>5.1176957353968255</v>
      </c>
      <c r="K45" s="1">
        <f>+(K42/60)+K35</f>
        <v>4.428733143833943</v>
      </c>
      <c r="L45" s="1">
        <f>+(L42/75)+L35</f>
        <v>4.145331469543651</v>
      </c>
      <c r="N45" s="17"/>
    </row>
    <row r="46" spans="1:14" ht="12.75">
      <c r="A46" s="4" t="s">
        <v>28</v>
      </c>
      <c r="J46" s="24">
        <f>+J17-J34</f>
        <v>92.21769338888889</v>
      </c>
      <c r="K46" s="24">
        <f>+K17-K34</f>
        <v>134.63571172222225</v>
      </c>
      <c r="L46" s="24">
        <f>+L17-L34</f>
        <v>177.92919672222223</v>
      </c>
      <c r="N46" s="22"/>
    </row>
    <row r="47" spans="1:14" ht="12.75">
      <c r="A47" s="4" t="s">
        <v>29</v>
      </c>
      <c r="J47" s="24">
        <f>+J17-J44</f>
        <v>-53.93891375396822</v>
      </c>
      <c r="K47" s="24">
        <f>+K17-K44</f>
        <v>-33.84589542063486</v>
      </c>
      <c r="L47" s="24">
        <f>+L17-L44</f>
        <v>-22.877410420634874</v>
      </c>
      <c r="N47" s="17"/>
    </row>
    <row r="48" spans="1:14" ht="15" thickBot="1">
      <c r="A48" s="4" t="s">
        <v>67</v>
      </c>
      <c r="J48" s="24">
        <f>+J47+J40+J37</f>
        <v>-26.188913753968222</v>
      </c>
      <c r="K48" s="24">
        <f>+K47+K40+K37</f>
        <v>-3.770895420634858</v>
      </c>
      <c r="L48" s="24">
        <f>+L47+L40+L37</f>
        <v>9.522589579365127</v>
      </c>
      <c r="N48" s="102"/>
    </row>
    <row r="49" spans="10:14" s="25" customFormat="1" ht="5.25" customHeight="1">
      <c r="J49" s="26"/>
      <c r="K49" s="26"/>
      <c r="L49" s="26"/>
      <c r="N49" s="22"/>
    </row>
    <row r="50" spans="1:14" ht="12.75">
      <c r="A50" s="4" t="s">
        <v>30</v>
      </c>
      <c r="E50">
        <v>1</v>
      </c>
      <c r="F50">
        <v>1.1</v>
      </c>
      <c r="G50">
        <v>1.2</v>
      </c>
      <c r="H50">
        <v>60</v>
      </c>
      <c r="I50" t="s">
        <v>15</v>
      </c>
      <c r="J50" s="16">
        <f>+E50*$H$50</f>
        <v>60</v>
      </c>
      <c r="K50" s="16">
        <f>+F50*$H$50</f>
        <v>66</v>
      </c>
      <c r="L50" s="16">
        <f>+G50*$H$50</f>
        <v>72</v>
      </c>
      <c r="N50" s="15"/>
    </row>
    <row r="51" spans="1:14" ht="12.75">
      <c r="A51" s="4" t="s">
        <v>31</v>
      </c>
      <c r="J51" s="16"/>
      <c r="K51" s="16"/>
      <c r="L51" s="16"/>
      <c r="N51" s="22"/>
    </row>
    <row r="52" spans="1:14" ht="14.25">
      <c r="A52" s="4"/>
      <c r="B52" t="s">
        <v>55</v>
      </c>
      <c r="J52" s="16"/>
      <c r="K52" s="16"/>
      <c r="L52" s="16"/>
      <c r="N52" s="22"/>
    </row>
    <row r="53" spans="1:14" ht="15.75">
      <c r="A53" s="4"/>
      <c r="C53" t="s">
        <v>56</v>
      </c>
      <c r="E53" s="60">
        <f>J8*0.09</f>
        <v>4.5</v>
      </c>
      <c r="F53" s="60">
        <f>K8*0.09</f>
        <v>5.85</v>
      </c>
      <c r="G53" s="60">
        <f>L8*0.09</f>
        <v>7.199999999999999</v>
      </c>
      <c r="H53">
        <v>0.3</v>
      </c>
      <c r="I53" t="s">
        <v>12</v>
      </c>
      <c r="J53" s="16">
        <f>+$H$53*E53</f>
        <v>1.3499999999999999</v>
      </c>
      <c r="K53" s="16">
        <f>+$H$53*F53</f>
        <v>1.755</v>
      </c>
      <c r="L53" s="16">
        <f>+$H$53*G53</f>
        <v>2.1599999999999997</v>
      </c>
      <c r="N53" s="22"/>
    </row>
    <row r="54" spans="1:14" ht="15.75">
      <c r="A54" s="4"/>
      <c r="C54" t="s">
        <v>57</v>
      </c>
      <c r="E54" s="60">
        <f>(J8*0.91)</f>
        <v>45.5</v>
      </c>
      <c r="F54" s="60">
        <f>(K8*0.91)</f>
        <v>59.15</v>
      </c>
      <c r="G54" s="60">
        <f>(L8*0.91)</f>
        <v>72.8</v>
      </c>
      <c r="H54">
        <v>0.18</v>
      </c>
      <c r="I54" t="s">
        <v>12</v>
      </c>
      <c r="J54" s="16">
        <f>+$H$54*E54</f>
        <v>8.19</v>
      </c>
      <c r="K54" s="16">
        <f>+$H$54*F54</f>
        <v>10.646999999999998</v>
      </c>
      <c r="L54" s="16">
        <f>+$H$54*G54</f>
        <v>13.104</v>
      </c>
      <c r="N54" s="17"/>
    </row>
    <row r="55" spans="2:14" ht="14.25">
      <c r="B55" t="s">
        <v>59</v>
      </c>
      <c r="J55" s="16">
        <f>+$J$134</f>
        <v>1.6720000000000002</v>
      </c>
      <c r="K55" s="16">
        <f>+$J$134</f>
        <v>1.6720000000000002</v>
      </c>
      <c r="L55" s="16">
        <f>+$J$134</f>
        <v>1.6720000000000002</v>
      </c>
      <c r="N55" s="22"/>
    </row>
    <row r="56" spans="2:14" ht="14.25">
      <c r="B56" t="s">
        <v>60</v>
      </c>
      <c r="J56" s="16">
        <f>+$L$134</f>
        <v>2.1999999999999997</v>
      </c>
      <c r="K56" s="16">
        <f>+$L$134</f>
        <v>2.1999999999999997</v>
      </c>
      <c r="L56" s="16">
        <f>+$L$134</f>
        <v>2.1999999999999997</v>
      </c>
      <c r="N56" s="17"/>
    </row>
    <row r="57" spans="2:14" ht="12.75">
      <c r="B57" t="s">
        <v>32</v>
      </c>
      <c r="J57" s="16">
        <v>2</v>
      </c>
      <c r="K57" s="16">
        <v>2</v>
      </c>
      <c r="L57" s="16">
        <v>2</v>
      </c>
      <c r="N57" s="22"/>
    </row>
    <row r="58" spans="2:14" ht="14.25">
      <c r="B58" t="s">
        <v>63</v>
      </c>
      <c r="J58" s="16">
        <v>0</v>
      </c>
      <c r="K58" s="16">
        <v>0</v>
      </c>
      <c r="L58" s="16">
        <v>0</v>
      </c>
      <c r="M58" s="22"/>
      <c r="N58" s="17"/>
    </row>
    <row r="59" spans="1:14" ht="12.75">
      <c r="A59" s="4" t="s">
        <v>126</v>
      </c>
      <c r="J59" s="16">
        <f>SUM(J53:J58)</f>
        <v>15.411999999999999</v>
      </c>
      <c r="K59" s="16">
        <f>SUM(K53:K58)</f>
        <v>18.273999999999997</v>
      </c>
      <c r="L59" s="16">
        <f>SUM(L53:L58)</f>
        <v>21.136</v>
      </c>
      <c r="N59" s="17"/>
    </row>
    <row r="60" spans="1:14" ht="12.75">
      <c r="A60" s="4" t="s">
        <v>33</v>
      </c>
      <c r="J60" s="16"/>
      <c r="K60" s="16"/>
      <c r="L60" s="16"/>
      <c r="N60" s="22"/>
    </row>
    <row r="61" spans="2:14" ht="14.25">
      <c r="B61" t="s">
        <v>64</v>
      </c>
      <c r="F61">
        <v>1.5</v>
      </c>
      <c r="G61" t="s">
        <v>22</v>
      </c>
      <c r="H61" s="1">
        <v>10</v>
      </c>
      <c r="I61" t="s">
        <v>34</v>
      </c>
      <c r="J61" s="16">
        <f>$F$61*$H$61</f>
        <v>15</v>
      </c>
      <c r="K61" s="16">
        <f>$F$61*$H$61</f>
        <v>15</v>
      </c>
      <c r="L61" s="16">
        <f>$F$61*$H$61</f>
        <v>15</v>
      </c>
      <c r="N61" s="22"/>
    </row>
    <row r="62" spans="2:14" ht="14.25">
      <c r="B62" t="s">
        <v>68</v>
      </c>
      <c r="J62" s="16">
        <f>+$H$134</f>
        <v>10.56875</v>
      </c>
      <c r="K62" s="16">
        <f>+$H$134</f>
        <v>10.56875</v>
      </c>
      <c r="L62" s="16">
        <f>+$H$134</f>
        <v>10.56875</v>
      </c>
      <c r="N62" s="17"/>
    </row>
    <row r="63" spans="2:14" ht="12.75">
      <c r="B63" t="s">
        <v>24</v>
      </c>
      <c r="F63" s="23">
        <v>0.05</v>
      </c>
      <c r="G63" t="s">
        <v>25</v>
      </c>
      <c r="J63" s="16">
        <f>$F$63*J50</f>
        <v>3</v>
      </c>
      <c r="K63" s="16">
        <f>$F$63*K50</f>
        <v>3.3000000000000003</v>
      </c>
      <c r="L63" s="16">
        <f>$F$63*L50</f>
        <v>3.6</v>
      </c>
      <c r="N63" s="22"/>
    </row>
    <row r="64" spans="1:14" ht="12.75">
      <c r="A64" s="4" t="s">
        <v>26</v>
      </c>
      <c r="J64" s="16">
        <f>SUM(J61:J63)</f>
        <v>28.56875</v>
      </c>
      <c r="K64" s="16">
        <f>SUM(K61:K63)</f>
        <v>28.868750000000002</v>
      </c>
      <c r="L64" s="16">
        <f>SUM(L61:L63)</f>
        <v>29.168750000000003</v>
      </c>
      <c r="N64" s="17"/>
    </row>
    <row r="65" spans="1:14" ht="12.75">
      <c r="A65" s="4" t="s">
        <v>125</v>
      </c>
      <c r="J65" s="16">
        <f>+J59+J64</f>
        <v>43.98075</v>
      </c>
      <c r="K65" s="16">
        <f>+K59+K64</f>
        <v>47.14275</v>
      </c>
      <c r="L65" s="16">
        <f>+L59+L64</f>
        <v>50.30475</v>
      </c>
      <c r="N65" s="22"/>
    </row>
    <row r="66" spans="1:14" ht="12.75">
      <c r="A66" s="4" t="s">
        <v>35</v>
      </c>
      <c r="J66" s="16">
        <f>+J50-J59</f>
        <v>44.588</v>
      </c>
      <c r="K66" s="16">
        <f>+K50-K59</f>
        <v>47.726</v>
      </c>
      <c r="L66" s="16">
        <f>+L50-L59</f>
        <v>50.864000000000004</v>
      </c>
      <c r="N66" s="17"/>
    </row>
    <row r="67" spans="1:14" ht="12.75">
      <c r="A67" s="4" t="s">
        <v>36</v>
      </c>
      <c r="J67" s="16">
        <f>+J50-J65</f>
        <v>16.01925</v>
      </c>
      <c r="K67" s="16">
        <f>+K50-K65</f>
        <v>18.85725</v>
      </c>
      <c r="L67" s="16">
        <f>+L50-L65</f>
        <v>21.69525</v>
      </c>
      <c r="N67" s="22"/>
    </row>
    <row r="68" spans="1:14" ht="14.25">
      <c r="A68" s="10" t="s">
        <v>69</v>
      </c>
      <c r="B68" s="15"/>
      <c r="C68" s="15"/>
      <c r="D68" s="15"/>
      <c r="E68" s="15"/>
      <c r="F68" s="15"/>
      <c r="G68" s="15"/>
      <c r="H68" s="15"/>
      <c r="I68" s="15"/>
      <c r="J68" s="27">
        <f>+J67+J63+J61</f>
        <v>34.01925</v>
      </c>
      <c r="K68" s="27">
        <f>+K67+K63+K61</f>
        <v>37.157250000000005</v>
      </c>
      <c r="L68" s="27">
        <f>+L67+L63+L61</f>
        <v>40.29525</v>
      </c>
      <c r="M68" s="15"/>
      <c r="N68" s="17"/>
    </row>
    <row r="69" spans="3:12" s="22" customFormat="1" ht="3.75" customHeight="1">
      <c r="C69" s="7"/>
      <c r="J69" s="28"/>
      <c r="K69" s="28"/>
      <c r="L69" s="28"/>
    </row>
    <row r="70" spans="10:12" ht="12.75">
      <c r="J70" s="16"/>
      <c r="K70" s="16"/>
      <c r="L70" s="16"/>
    </row>
    <row r="71" spans="1:12" ht="13.5">
      <c r="A71" s="53"/>
      <c r="B71" s="54"/>
      <c r="C71" s="54"/>
      <c r="D71" s="54"/>
      <c r="E71" s="54"/>
      <c r="F71" s="54"/>
      <c r="G71" s="54"/>
      <c r="J71" s="16"/>
      <c r="K71" s="16"/>
      <c r="L71" s="16"/>
    </row>
    <row r="72" spans="1:12" ht="13.5">
      <c r="A72" s="53"/>
      <c r="B72" s="54"/>
      <c r="C72" s="54"/>
      <c r="D72" s="54"/>
      <c r="E72" s="54"/>
      <c r="F72" s="54"/>
      <c r="G72" s="54"/>
      <c r="J72" s="16"/>
      <c r="K72" s="16"/>
      <c r="L72" s="16"/>
    </row>
    <row r="73" spans="1:12" ht="13.5">
      <c r="A73" s="53">
        <v>1</v>
      </c>
      <c r="B73" s="54" t="s">
        <v>100</v>
      </c>
      <c r="C73" s="54"/>
      <c r="D73" s="54"/>
      <c r="E73" s="54"/>
      <c r="F73" s="54"/>
      <c r="G73" s="54"/>
      <c r="J73" s="16"/>
      <c r="K73" s="16"/>
      <c r="L73" s="16"/>
    </row>
    <row r="74" spans="1:12" ht="13.5">
      <c r="A74" s="53">
        <v>2</v>
      </c>
      <c r="B74" s="54" t="s">
        <v>75</v>
      </c>
      <c r="C74" s="54"/>
      <c r="D74" s="54"/>
      <c r="E74" s="54"/>
      <c r="F74" s="54"/>
      <c r="G74" s="54"/>
      <c r="H74" s="54"/>
      <c r="I74" s="54"/>
      <c r="J74" s="55"/>
      <c r="K74" s="55"/>
      <c r="L74" s="55"/>
    </row>
    <row r="75" spans="1:12" ht="13.5">
      <c r="A75" s="53">
        <v>3</v>
      </c>
      <c r="B75" s="54" t="s">
        <v>78</v>
      </c>
      <c r="C75" s="54"/>
      <c r="D75" s="54"/>
      <c r="E75" s="54"/>
      <c r="F75" s="54"/>
      <c r="G75" s="54"/>
      <c r="H75" s="54"/>
      <c r="I75" s="54"/>
      <c r="J75" s="55"/>
      <c r="K75" s="55"/>
      <c r="L75" s="55"/>
    </row>
    <row r="76" spans="1:12" ht="13.5">
      <c r="A76" s="53"/>
      <c r="B76" s="54"/>
      <c r="C76" s="54" t="s">
        <v>76</v>
      </c>
      <c r="D76" s="54"/>
      <c r="E76" s="54"/>
      <c r="F76" s="54"/>
      <c r="G76" s="54"/>
      <c r="H76" s="54"/>
      <c r="I76" s="54"/>
      <c r="J76" s="55"/>
      <c r="K76" s="55"/>
      <c r="L76" s="55"/>
    </row>
    <row r="77" spans="1:12" ht="13.5">
      <c r="A77" s="53"/>
      <c r="B77" s="54"/>
      <c r="C77" s="54" t="s">
        <v>104</v>
      </c>
      <c r="D77" s="54"/>
      <c r="E77" s="54"/>
      <c r="F77" s="54"/>
      <c r="G77" s="54"/>
      <c r="H77" s="54"/>
      <c r="I77" s="54"/>
      <c r="J77" s="55"/>
      <c r="K77" s="55"/>
      <c r="L77" s="55"/>
    </row>
    <row r="78" spans="1:12" ht="13.5">
      <c r="A78" s="53"/>
      <c r="B78" s="54" t="s">
        <v>77</v>
      </c>
      <c r="C78" s="54"/>
      <c r="D78" s="54"/>
      <c r="E78" s="54"/>
      <c r="F78" s="54"/>
      <c r="G78" s="54"/>
      <c r="H78" s="54"/>
      <c r="I78" s="54"/>
      <c r="J78" s="55"/>
      <c r="K78" s="55"/>
      <c r="L78" s="55"/>
    </row>
    <row r="79" spans="1:12" ht="13.5">
      <c r="A79" s="53"/>
      <c r="B79" s="54"/>
      <c r="C79" s="54" t="s">
        <v>81</v>
      </c>
      <c r="D79" s="54"/>
      <c r="E79" s="54"/>
      <c r="F79" s="54"/>
      <c r="G79" s="54"/>
      <c r="H79" s="54"/>
      <c r="I79" s="54"/>
      <c r="J79" s="55"/>
      <c r="K79" s="55"/>
      <c r="L79" s="55"/>
    </row>
    <row r="80" spans="1:12" ht="13.5">
      <c r="A80" s="53"/>
      <c r="B80" s="54"/>
      <c r="C80" s="54" t="s">
        <v>82</v>
      </c>
      <c r="D80" s="54"/>
      <c r="E80" s="54"/>
      <c r="F80" s="54"/>
      <c r="G80" s="54"/>
      <c r="H80" s="54"/>
      <c r="I80" s="54"/>
      <c r="J80" s="55"/>
      <c r="K80" s="55"/>
      <c r="L80" s="55"/>
    </row>
    <row r="81" spans="1:12" ht="13.5">
      <c r="A81" s="53"/>
      <c r="B81" s="54"/>
      <c r="C81" s="54" t="s">
        <v>83</v>
      </c>
      <c r="D81" s="54"/>
      <c r="E81" s="54"/>
      <c r="F81" s="54"/>
      <c r="G81" s="54"/>
      <c r="H81" s="54"/>
      <c r="I81" s="54"/>
      <c r="J81" s="55"/>
      <c r="K81" s="55"/>
      <c r="L81" s="55"/>
    </row>
    <row r="82" spans="1:12" ht="14.25">
      <c r="A82" s="29">
        <v>3</v>
      </c>
      <c r="B82" t="s">
        <v>37</v>
      </c>
      <c r="J82" s="16"/>
      <c r="K82" s="16"/>
      <c r="L82" s="16"/>
    </row>
    <row r="83" spans="1:12" ht="14.25">
      <c r="A83" s="29"/>
      <c r="C83" t="s">
        <v>109</v>
      </c>
      <c r="J83" s="16"/>
      <c r="K83" s="16"/>
      <c r="L83" s="16"/>
    </row>
    <row r="84" spans="1:12" ht="14.25">
      <c r="A84" s="29"/>
      <c r="C84" t="s">
        <v>38</v>
      </c>
      <c r="J84" s="16"/>
      <c r="K84" s="16"/>
      <c r="L84" s="16"/>
    </row>
    <row r="85" spans="1:12" ht="14.25">
      <c r="A85" s="29"/>
      <c r="C85" t="s">
        <v>110</v>
      </c>
      <c r="J85" s="16"/>
      <c r="K85" s="16"/>
      <c r="L85" s="16"/>
    </row>
    <row r="86" spans="1:12" ht="14.25">
      <c r="A86" s="29">
        <v>4</v>
      </c>
      <c r="B86" t="s">
        <v>99</v>
      </c>
      <c r="J86" s="16"/>
      <c r="K86" s="16"/>
      <c r="L86" s="16"/>
    </row>
    <row r="87" spans="1:12" ht="14.25">
      <c r="A87" s="29"/>
      <c r="C87" s="30" t="s">
        <v>105</v>
      </c>
      <c r="J87" s="16"/>
      <c r="K87" s="16"/>
      <c r="L87" s="16"/>
    </row>
    <row r="88" spans="1:12" ht="14.25">
      <c r="A88" s="29">
        <v>5</v>
      </c>
      <c r="B88" s="30" t="s">
        <v>101</v>
      </c>
      <c r="J88" s="16"/>
      <c r="K88" s="16"/>
      <c r="L88" s="16"/>
    </row>
    <row r="89" spans="1:12" ht="14.25">
      <c r="A89" s="29">
        <v>6</v>
      </c>
      <c r="B89" s="30" t="s">
        <v>39</v>
      </c>
      <c r="J89" s="16"/>
      <c r="K89" s="16"/>
      <c r="L89" s="16"/>
    </row>
    <row r="90" spans="1:12" ht="14.25">
      <c r="A90" s="29">
        <v>7</v>
      </c>
      <c r="B90" t="s">
        <v>106</v>
      </c>
      <c r="J90" s="16"/>
      <c r="K90" s="16"/>
      <c r="L90" s="16"/>
    </row>
    <row r="91" spans="1:12" ht="14.25">
      <c r="A91" s="29">
        <v>8</v>
      </c>
      <c r="B91" t="s">
        <v>131</v>
      </c>
      <c r="J91" s="16"/>
      <c r="K91" s="16"/>
      <c r="L91" s="16"/>
    </row>
    <row r="92" spans="1:12" ht="14.25">
      <c r="A92" s="29">
        <v>9</v>
      </c>
      <c r="B92" t="s">
        <v>40</v>
      </c>
      <c r="J92" s="16"/>
      <c r="K92" s="16"/>
      <c r="L92" s="16"/>
    </row>
    <row r="93" spans="1:12" ht="14.25">
      <c r="A93" s="29"/>
      <c r="C93" t="s">
        <v>41</v>
      </c>
      <c r="J93" s="16"/>
      <c r="K93" s="16"/>
      <c r="L93" s="16"/>
    </row>
    <row r="94" spans="1:12" ht="14.25">
      <c r="A94" s="29">
        <v>10</v>
      </c>
      <c r="B94" s="30" t="s">
        <v>108</v>
      </c>
      <c r="J94" s="16"/>
      <c r="K94" s="16"/>
      <c r="L94" s="16"/>
    </row>
    <row r="95" spans="1:12" ht="14.25">
      <c r="A95" s="29">
        <v>11</v>
      </c>
      <c r="B95" s="30" t="s">
        <v>107</v>
      </c>
      <c r="J95" s="16"/>
      <c r="K95" s="16"/>
      <c r="L95" s="16"/>
    </row>
    <row r="96" spans="1:12" ht="14.25">
      <c r="A96" s="29">
        <v>12</v>
      </c>
      <c r="B96" s="30" t="s">
        <v>42</v>
      </c>
      <c r="C96" s="30"/>
      <c r="J96" s="16"/>
      <c r="K96" s="16"/>
      <c r="L96" s="16"/>
    </row>
    <row r="97" spans="2:12" ht="12.75">
      <c r="B97" s="30"/>
      <c r="C97" s="30" t="s">
        <v>43</v>
      </c>
      <c r="J97" s="16"/>
      <c r="K97" s="16"/>
      <c r="L97" s="16"/>
    </row>
    <row r="98" spans="3:12" ht="12.75">
      <c r="C98" t="s">
        <v>111</v>
      </c>
      <c r="J98" s="16"/>
      <c r="K98" s="16"/>
      <c r="L98" s="16"/>
    </row>
    <row r="99" spans="1:14" ht="12.75">
      <c r="A99" s="107" t="s">
        <v>127</v>
      </c>
      <c r="B99" s="108"/>
      <c r="C99" s="108"/>
      <c r="D99" s="108"/>
      <c r="E99" s="108"/>
      <c r="F99" s="108"/>
      <c r="G99" s="108"/>
      <c r="H99" s="108"/>
      <c r="I99" s="108"/>
      <c r="J99" s="108"/>
      <c r="K99" s="108"/>
      <c r="L99" s="108"/>
      <c r="M99" s="30"/>
      <c r="N99" s="30"/>
    </row>
    <row r="100" spans="1:14" ht="24">
      <c r="A100" s="54"/>
      <c r="B100" s="54"/>
      <c r="C100" s="54"/>
      <c r="D100" s="54"/>
      <c r="E100" s="64" t="s">
        <v>44</v>
      </c>
      <c r="F100" s="65" t="s">
        <v>112</v>
      </c>
      <c r="G100" s="64" t="s">
        <v>113</v>
      </c>
      <c r="H100" s="65" t="s">
        <v>114</v>
      </c>
      <c r="I100" s="65" t="s">
        <v>115</v>
      </c>
      <c r="J100" s="65" t="s">
        <v>54</v>
      </c>
      <c r="L100" s="65" t="s">
        <v>46</v>
      </c>
      <c r="M100" s="30"/>
      <c r="N100" s="30"/>
    </row>
    <row r="101" spans="1:14" ht="15.75" customHeight="1">
      <c r="A101" s="54"/>
      <c r="B101" s="54" t="s">
        <v>116</v>
      </c>
      <c r="C101" s="54"/>
      <c r="D101" s="54"/>
      <c r="E101" s="66">
        <v>1</v>
      </c>
      <c r="F101" s="67">
        <v>19900</v>
      </c>
      <c r="G101" s="68">
        <v>1500</v>
      </c>
      <c r="H101" s="89">
        <f>(F101/G101)*E101*0.15</f>
        <v>1.99</v>
      </c>
      <c r="I101" s="69">
        <v>13.03</v>
      </c>
      <c r="J101" s="70">
        <v>0.64</v>
      </c>
      <c r="L101" s="70">
        <v>0.47</v>
      </c>
      <c r="M101" s="31"/>
      <c r="N101" s="30"/>
    </row>
    <row r="102" spans="1:13" ht="12.75">
      <c r="A102" s="54"/>
      <c r="B102" s="54" t="s">
        <v>87</v>
      </c>
      <c r="C102" s="54"/>
      <c r="D102" s="54"/>
      <c r="E102" s="66">
        <v>1</v>
      </c>
      <c r="F102" s="67">
        <v>17500</v>
      </c>
      <c r="G102" s="68">
        <v>1500</v>
      </c>
      <c r="H102" s="89">
        <f aca="true" t="shared" si="0" ref="H102:H111">(F102/G102)*E102*0.15</f>
        <v>1.7499999999999998</v>
      </c>
      <c r="I102" s="69">
        <v>16.59</v>
      </c>
      <c r="J102" s="70">
        <v>0.34</v>
      </c>
      <c r="L102" s="70">
        <v>0.37</v>
      </c>
      <c r="M102" s="31"/>
    </row>
    <row r="103" spans="1:16" ht="12.75">
      <c r="A103" s="54"/>
      <c r="B103" s="54" t="s">
        <v>91</v>
      </c>
      <c r="C103" s="54"/>
      <c r="D103" s="54"/>
      <c r="E103" s="66">
        <v>1</v>
      </c>
      <c r="F103" s="67">
        <v>14400</v>
      </c>
      <c r="G103" s="68">
        <v>3000</v>
      </c>
      <c r="H103" s="89">
        <f t="shared" si="0"/>
        <v>0.72</v>
      </c>
      <c r="I103" s="69">
        <v>25.61</v>
      </c>
      <c r="J103" s="70">
        <v>0.2</v>
      </c>
      <c r="L103" s="70">
        <v>0.52</v>
      </c>
      <c r="M103" s="31"/>
      <c r="O103" s="35"/>
      <c r="P103" s="35"/>
    </row>
    <row r="104" spans="1:16" ht="12.75">
      <c r="A104" s="54"/>
      <c r="B104" s="54" t="s">
        <v>117</v>
      </c>
      <c r="C104" s="54"/>
      <c r="D104" s="54"/>
      <c r="E104" s="66">
        <v>1</v>
      </c>
      <c r="F104" s="67">
        <v>26700</v>
      </c>
      <c r="G104" s="68">
        <v>750</v>
      </c>
      <c r="H104" s="89">
        <f t="shared" si="0"/>
        <v>5.34</v>
      </c>
      <c r="I104" s="69">
        <v>9.33</v>
      </c>
      <c r="J104" s="70">
        <v>0.34</v>
      </c>
      <c r="L104" s="70">
        <v>0.84</v>
      </c>
      <c r="M104" s="31"/>
      <c r="O104" s="35"/>
      <c r="P104" s="35"/>
    </row>
    <row r="105" spans="1:16" ht="12.75">
      <c r="A105" s="54"/>
      <c r="B105" s="54" t="s">
        <v>88</v>
      </c>
      <c r="C105" s="54"/>
      <c r="D105" s="54"/>
      <c r="E105" s="66">
        <v>1</v>
      </c>
      <c r="F105" s="67">
        <v>159800</v>
      </c>
      <c r="G105" s="68">
        <v>1500</v>
      </c>
      <c r="H105" s="89">
        <f t="shared" si="0"/>
        <v>15.979999999999999</v>
      </c>
      <c r="I105" s="71"/>
      <c r="J105" s="70"/>
      <c r="L105" s="72">
        <v>5.23</v>
      </c>
      <c r="M105" s="31"/>
      <c r="O105" s="35"/>
      <c r="P105" s="35"/>
    </row>
    <row r="106" spans="1:16" ht="12.75">
      <c r="A106" s="54"/>
      <c r="B106" s="54"/>
      <c r="C106" s="54" t="s">
        <v>89</v>
      </c>
      <c r="D106" s="54"/>
      <c r="E106" s="66">
        <v>1</v>
      </c>
      <c r="F106" s="73">
        <v>14300</v>
      </c>
      <c r="G106" s="88">
        <v>750</v>
      </c>
      <c r="H106" s="89">
        <f t="shared" si="0"/>
        <v>2.86</v>
      </c>
      <c r="I106" s="71">
        <v>6.79</v>
      </c>
      <c r="J106" s="70">
        <v>1.31</v>
      </c>
      <c r="L106" s="72">
        <v>0.25</v>
      </c>
      <c r="M106" s="31"/>
      <c r="O106" s="35"/>
      <c r="P106" s="35"/>
    </row>
    <row r="107" spans="1:16" ht="12.75">
      <c r="A107" s="54"/>
      <c r="B107" s="54" t="s">
        <v>47</v>
      </c>
      <c r="C107" s="54"/>
      <c r="D107" s="54"/>
      <c r="E107" s="66">
        <v>2</v>
      </c>
      <c r="F107" s="73">
        <v>10400</v>
      </c>
      <c r="G107" s="68">
        <v>1500</v>
      </c>
      <c r="H107" s="89">
        <f t="shared" si="0"/>
        <v>2.08</v>
      </c>
      <c r="I107" s="71">
        <v>25.6</v>
      </c>
      <c r="J107" s="70">
        <v>0.1</v>
      </c>
      <c r="L107" s="72">
        <v>0.26</v>
      </c>
      <c r="M107" s="31"/>
      <c r="O107" s="35"/>
      <c r="P107" s="35"/>
    </row>
    <row r="108" spans="1:16" ht="12.75">
      <c r="A108" s="54"/>
      <c r="B108" s="54" t="s">
        <v>90</v>
      </c>
      <c r="C108" s="54"/>
      <c r="D108" s="54"/>
      <c r="E108" s="66">
        <v>1</v>
      </c>
      <c r="F108" s="67">
        <v>25000</v>
      </c>
      <c r="G108" s="68">
        <v>1500</v>
      </c>
      <c r="H108" s="89">
        <f t="shared" si="0"/>
        <v>2.5</v>
      </c>
      <c r="I108" s="71"/>
      <c r="J108" s="70" t="s">
        <v>92</v>
      </c>
      <c r="L108" s="72">
        <v>1.67</v>
      </c>
      <c r="M108" s="31"/>
      <c r="O108" s="35"/>
      <c r="P108" s="35"/>
    </row>
    <row r="109" spans="1:16" ht="12.75">
      <c r="A109" s="54"/>
      <c r="B109" s="54" t="s">
        <v>48</v>
      </c>
      <c r="C109" s="54"/>
      <c r="D109" s="54"/>
      <c r="E109" s="66">
        <v>4</v>
      </c>
      <c r="F109" s="67">
        <v>94000</v>
      </c>
      <c r="G109" s="68">
        <v>5250</v>
      </c>
      <c r="H109" s="89">
        <f t="shared" si="0"/>
        <v>10.742857142857142</v>
      </c>
      <c r="I109" s="69"/>
      <c r="J109" s="66"/>
      <c r="L109" s="72">
        <v>1.04</v>
      </c>
      <c r="M109" s="31"/>
      <c r="O109" s="35"/>
      <c r="P109" s="35"/>
    </row>
    <row r="110" spans="1:16" ht="12.75">
      <c r="A110" s="54"/>
      <c r="B110" s="54" t="s">
        <v>49</v>
      </c>
      <c r="C110" s="54"/>
      <c r="D110" s="54"/>
      <c r="E110" s="66">
        <v>3</v>
      </c>
      <c r="F110" s="67">
        <v>31400</v>
      </c>
      <c r="G110" s="68">
        <v>4800</v>
      </c>
      <c r="H110" s="89">
        <f t="shared" si="0"/>
        <v>2.94375</v>
      </c>
      <c r="I110" s="66"/>
      <c r="J110" s="66"/>
      <c r="L110" s="72">
        <v>0.13</v>
      </c>
      <c r="M110" s="31"/>
      <c r="O110" s="30"/>
      <c r="P110" s="35"/>
    </row>
    <row r="111" spans="1:15" ht="12.75">
      <c r="A111" s="54"/>
      <c r="B111" s="54" t="s">
        <v>118</v>
      </c>
      <c r="C111" s="54"/>
      <c r="D111" s="54"/>
      <c r="E111" s="66">
        <v>1</v>
      </c>
      <c r="F111" s="74">
        <v>15000</v>
      </c>
      <c r="G111" s="75">
        <v>1500</v>
      </c>
      <c r="H111" s="92">
        <f t="shared" si="0"/>
        <v>1.5</v>
      </c>
      <c r="I111" s="76"/>
      <c r="J111" s="77">
        <f>0.1</f>
        <v>0.1</v>
      </c>
      <c r="K111" s="61"/>
      <c r="L111" s="76">
        <v>0.05</v>
      </c>
      <c r="M111" s="31"/>
      <c r="N111" s="30"/>
      <c r="O111" s="31"/>
    </row>
    <row r="112" spans="1:14" ht="12.75">
      <c r="A112" s="54"/>
      <c r="C112" s="54"/>
      <c r="D112" s="54"/>
      <c r="E112" s="78"/>
      <c r="F112" s="66"/>
      <c r="G112" s="66"/>
      <c r="H112" s="13"/>
      <c r="I112" s="79" t="s">
        <v>119</v>
      </c>
      <c r="J112" s="82">
        <f>SUM(J101:J111)*L115</f>
        <v>5.605500000000001</v>
      </c>
      <c r="L112" s="72"/>
      <c r="M112" s="31"/>
      <c r="N112" s="30"/>
    </row>
    <row r="113" spans="1:14" ht="12.75">
      <c r="A113" s="54"/>
      <c r="B113" s="80" t="s">
        <v>120</v>
      </c>
      <c r="C113" s="80"/>
      <c r="D113" s="80"/>
      <c r="E113" s="80"/>
      <c r="F113" s="81"/>
      <c r="G113" s="81"/>
      <c r="H113" s="82">
        <f>SUM(H101:H111)</f>
        <v>48.40660714285714</v>
      </c>
      <c r="I113" s="79" t="s">
        <v>121</v>
      </c>
      <c r="J113" s="82">
        <f>(J112*0.1)+J112</f>
        <v>6.166050000000001</v>
      </c>
      <c r="K113" s="38" t="s">
        <v>122</v>
      </c>
      <c r="L113" s="82">
        <f>SUM(L101:L111)</f>
        <v>10.83</v>
      </c>
      <c r="M113" s="31"/>
      <c r="N113" s="30"/>
    </row>
    <row r="114" spans="1:14" ht="12.75">
      <c r="A114" s="54"/>
      <c r="B114" s="80"/>
      <c r="C114" s="54"/>
      <c r="D114" s="54"/>
      <c r="E114" s="54"/>
      <c r="F114" s="83"/>
      <c r="G114" s="84"/>
      <c r="H114" s="58"/>
      <c r="I114" s="80"/>
      <c r="J114" s="85"/>
      <c r="K114" s="85"/>
      <c r="L114" s="85"/>
      <c r="M114" s="31"/>
      <c r="N114" s="30"/>
    </row>
    <row r="115" spans="1:14" ht="12.75">
      <c r="A115" s="54"/>
      <c r="B115" s="54"/>
      <c r="C115" s="80"/>
      <c r="D115" s="80"/>
      <c r="E115" s="80"/>
      <c r="F115" s="86"/>
      <c r="G115" s="86"/>
      <c r="H115" s="86"/>
      <c r="I115" s="103" t="s">
        <v>50</v>
      </c>
      <c r="J115" s="103"/>
      <c r="K115" s="103"/>
      <c r="L115" s="87">
        <v>1.85</v>
      </c>
      <c r="M115" s="31"/>
      <c r="N115" s="30"/>
    </row>
    <row r="116" spans="1:14" ht="12.75">
      <c r="A116" s="30"/>
      <c r="B116" s="4"/>
      <c r="C116" s="4"/>
      <c r="D116" s="4"/>
      <c r="E116" s="4"/>
      <c r="F116" s="42"/>
      <c r="G116" s="40"/>
      <c r="H116" s="4"/>
      <c r="I116" s="41"/>
      <c r="J116" s="41"/>
      <c r="L116" s="31"/>
      <c r="M116" s="31"/>
      <c r="N116" s="30"/>
    </row>
    <row r="117" spans="1:14" ht="12.75">
      <c r="A117" s="30" t="s">
        <v>93</v>
      </c>
      <c r="B117" s="30"/>
      <c r="C117" s="30"/>
      <c r="D117" s="30"/>
      <c r="E117" s="30"/>
      <c r="F117" s="44"/>
      <c r="G117" s="40"/>
      <c r="H117" s="30"/>
      <c r="I117" s="31"/>
      <c r="J117" s="31"/>
      <c r="K117" s="31"/>
      <c r="L117" s="31"/>
      <c r="M117" s="31"/>
      <c r="N117" s="30"/>
    </row>
    <row r="118" spans="1:14" ht="12.75">
      <c r="A118" s="30" t="s">
        <v>130</v>
      </c>
      <c r="B118" s="30"/>
      <c r="C118" s="30"/>
      <c r="D118" s="30"/>
      <c r="E118" s="30"/>
      <c r="F118" s="30"/>
      <c r="G118" s="30"/>
      <c r="H118" s="30"/>
      <c r="I118" s="30"/>
      <c r="J118" s="30"/>
      <c r="K118" s="31"/>
      <c r="L118" s="31"/>
      <c r="M118" s="31"/>
      <c r="N118" s="30"/>
    </row>
    <row r="119" spans="1:14" ht="12.75">
      <c r="A119" s="30" t="s">
        <v>123</v>
      </c>
      <c r="B119" s="30"/>
      <c r="C119" s="30"/>
      <c r="D119" s="30"/>
      <c r="E119" s="99"/>
      <c r="F119" s="99"/>
      <c r="G119" s="99"/>
      <c r="H119" s="99"/>
      <c r="I119" s="30"/>
      <c r="J119" s="30"/>
      <c r="K119" s="31"/>
      <c r="L119" s="31"/>
      <c r="M119" s="31"/>
      <c r="N119" s="30"/>
    </row>
    <row r="120" spans="1:14" ht="12.75">
      <c r="A120" s="100" t="s">
        <v>124</v>
      </c>
      <c r="B120" s="30"/>
      <c r="C120" s="101"/>
      <c r="D120" s="30"/>
      <c r="E120" s="99"/>
      <c r="F120" s="99"/>
      <c r="G120" s="99"/>
      <c r="H120" s="99"/>
      <c r="I120" s="30"/>
      <c r="J120" s="30"/>
      <c r="K120" s="31"/>
      <c r="L120" s="31"/>
      <c r="M120" s="31"/>
      <c r="N120" s="30"/>
    </row>
    <row r="121" spans="1:14" ht="12.75">
      <c r="A121" s="30" t="s">
        <v>97</v>
      </c>
      <c r="B121" s="30"/>
      <c r="C121" s="30"/>
      <c r="D121" s="30"/>
      <c r="E121" s="30"/>
      <c r="F121" s="30"/>
      <c r="G121" s="30"/>
      <c r="H121" s="30"/>
      <c r="I121" s="30"/>
      <c r="J121" s="31"/>
      <c r="K121" s="31"/>
      <c r="L121" s="31"/>
      <c r="M121" s="31"/>
      <c r="N121" s="30"/>
    </row>
    <row r="122" spans="1:13" ht="12.75">
      <c r="A122" t="s">
        <v>51</v>
      </c>
      <c r="G122" s="30"/>
      <c r="H122" s="30"/>
      <c r="M122" s="1"/>
    </row>
    <row r="123" spans="1:13" ht="12.75">
      <c r="A123" s="30" t="s">
        <v>52</v>
      </c>
      <c r="G123" s="30"/>
      <c r="M123" s="1"/>
    </row>
    <row r="124" spans="1:13" ht="12.75">
      <c r="A124" s="54" t="s">
        <v>128</v>
      </c>
      <c r="B124" s="54"/>
      <c r="C124" s="54"/>
      <c r="D124" s="54"/>
      <c r="G124" s="30"/>
      <c r="M124" s="1"/>
    </row>
    <row r="125" spans="1:13" ht="12.75">
      <c r="A125" s="54" t="s">
        <v>129</v>
      </c>
      <c r="B125" s="54"/>
      <c r="C125" s="54"/>
      <c r="D125" s="54"/>
      <c r="G125" s="30"/>
      <c r="M125" s="1"/>
    </row>
    <row r="126" spans="1:14" ht="12.75">
      <c r="A126" s="107" t="s">
        <v>53</v>
      </c>
      <c r="B126" s="107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30"/>
      <c r="N126" s="30"/>
    </row>
    <row r="127" spans="1:14" ht="12.75">
      <c r="A127" s="30"/>
      <c r="B127" s="30"/>
      <c r="C127" s="30"/>
      <c r="D127" s="30"/>
      <c r="E127" s="30"/>
      <c r="F127" s="30"/>
      <c r="G127" s="30"/>
      <c r="H127" s="30"/>
      <c r="I127" s="30"/>
      <c r="J127" s="31"/>
      <c r="K127" s="31"/>
      <c r="L127" s="31"/>
      <c r="M127" s="30"/>
      <c r="N127" s="30"/>
    </row>
    <row r="128" spans="1:14" ht="25.5" customHeight="1">
      <c r="A128" s="30"/>
      <c r="B128" s="30"/>
      <c r="C128" s="30"/>
      <c r="D128" s="30"/>
      <c r="E128" s="32" t="s">
        <v>44</v>
      </c>
      <c r="F128" s="33" t="s">
        <v>45</v>
      </c>
      <c r="G128" s="34" t="s">
        <v>113</v>
      </c>
      <c r="H128" s="90" t="s">
        <v>114</v>
      </c>
      <c r="I128" s="90" t="s">
        <v>115</v>
      </c>
      <c r="J128" s="90" t="s">
        <v>54</v>
      </c>
      <c r="K128" s="61"/>
      <c r="L128" s="90" t="s">
        <v>46</v>
      </c>
      <c r="M128" s="31"/>
      <c r="N128" s="30"/>
    </row>
    <row r="129" spans="1:13" ht="12.75">
      <c r="A129" s="30"/>
      <c r="B129" t="s">
        <v>95</v>
      </c>
      <c r="E129" s="2">
        <v>1</v>
      </c>
      <c r="F129" s="97">
        <v>18400</v>
      </c>
      <c r="G129" s="95">
        <v>300</v>
      </c>
      <c r="H129" s="94">
        <f>(F129/G129)*E129*0.075</f>
        <v>4.6</v>
      </c>
      <c r="I129" s="69">
        <v>13.03</v>
      </c>
      <c r="J129" s="70">
        <v>0.64</v>
      </c>
      <c r="L129" s="70">
        <v>0.47</v>
      </c>
      <c r="M129" s="31"/>
    </row>
    <row r="130" spans="1:16" ht="12.75">
      <c r="A130" s="30"/>
      <c r="B130" t="s">
        <v>96</v>
      </c>
      <c r="E130" s="2">
        <v>1</v>
      </c>
      <c r="F130" s="97">
        <v>7000</v>
      </c>
      <c r="G130" s="95">
        <v>300</v>
      </c>
      <c r="H130" s="94">
        <f>(F130/G130)*E130*0.075</f>
        <v>1.7499999999999998</v>
      </c>
      <c r="I130" s="69">
        <v>16.59</v>
      </c>
      <c r="J130" s="70">
        <v>0.34</v>
      </c>
      <c r="L130" s="70">
        <v>0.37</v>
      </c>
      <c r="M130" s="31"/>
      <c r="O130" s="35"/>
      <c r="P130" s="35"/>
    </row>
    <row r="131" spans="1:16" ht="12.75">
      <c r="A131" s="30"/>
      <c r="B131" t="s">
        <v>94</v>
      </c>
      <c r="E131" s="2">
        <v>1</v>
      </c>
      <c r="F131" s="97">
        <v>5100</v>
      </c>
      <c r="G131" s="95">
        <v>300</v>
      </c>
      <c r="H131" s="94">
        <f>(F131/G131)*E131*0.075</f>
        <v>1.275</v>
      </c>
      <c r="I131" s="69">
        <v>25.61</v>
      </c>
      <c r="J131" s="70">
        <v>0.2</v>
      </c>
      <c r="L131" s="70">
        <v>0.52</v>
      </c>
      <c r="M131" s="31"/>
      <c r="O131" s="35"/>
      <c r="P131" s="35"/>
    </row>
    <row r="132" spans="1:16" ht="12.75">
      <c r="A132" s="30"/>
      <c r="B132" t="s">
        <v>49</v>
      </c>
      <c r="E132" s="93">
        <v>3</v>
      </c>
      <c r="F132" s="98">
        <v>31400</v>
      </c>
      <c r="G132" s="96">
        <v>4800</v>
      </c>
      <c r="H132" s="92">
        <f>(F132/G132)*E132*0.15</f>
        <v>2.94375</v>
      </c>
      <c r="I132" s="91">
        <v>9.33</v>
      </c>
      <c r="J132" s="76">
        <v>0.34</v>
      </c>
      <c r="K132" s="61"/>
      <c r="L132" s="76">
        <v>0.84</v>
      </c>
      <c r="M132" s="31"/>
      <c r="O132" s="35"/>
      <c r="P132" s="35"/>
    </row>
    <row r="133" spans="1:16" ht="12.75">
      <c r="A133" s="30"/>
      <c r="E133" s="2"/>
      <c r="F133" s="59"/>
      <c r="H133" s="79"/>
      <c r="I133" s="79" t="s">
        <v>119</v>
      </c>
      <c r="J133" s="82">
        <f>SUM(J129:J132)</f>
        <v>1.52</v>
      </c>
      <c r="K133" s="70"/>
      <c r="L133" s="55"/>
      <c r="M133" s="31"/>
      <c r="O133" s="35"/>
      <c r="P133" s="35"/>
    </row>
    <row r="134" spans="1:16" ht="12.75">
      <c r="A134" s="30"/>
      <c r="B134" s="104" t="s">
        <v>120</v>
      </c>
      <c r="C134" s="104"/>
      <c r="D134" s="105"/>
      <c r="E134" s="105"/>
      <c r="F134" s="105"/>
      <c r="H134" s="82">
        <f>SUM(H129:H132)</f>
        <v>10.56875</v>
      </c>
      <c r="I134" s="79" t="s">
        <v>121</v>
      </c>
      <c r="J134" s="82">
        <f>(J133*0.1)+J133</f>
        <v>1.6720000000000002</v>
      </c>
      <c r="K134" s="82" t="s">
        <v>122</v>
      </c>
      <c r="L134" s="82">
        <f>SUM(L129:L132)</f>
        <v>2.1999999999999997</v>
      </c>
      <c r="M134" s="31"/>
      <c r="O134" s="35"/>
      <c r="P134" s="35"/>
    </row>
    <row r="135" spans="1:16" ht="12.75">
      <c r="A135" s="30"/>
      <c r="B135" s="30"/>
      <c r="C135" s="30"/>
      <c r="D135" s="30"/>
      <c r="E135" s="30"/>
      <c r="F135" s="39"/>
      <c r="G135" s="40"/>
      <c r="H135" s="4"/>
      <c r="I135" s="62"/>
      <c r="J135" s="41"/>
      <c r="L135" s="31"/>
      <c r="M135" s="31"/>
      <c r="O135" s="35"/>
      <c r="P135" s="35"/>
    </row>
    <row r="136" spans="1:16" ht="12.75">
      <c r="A136" s="30"/>
      <c r="B136" s="4"/>
      <c r="C136" s="4"/>
      <c r="D136" s="4"/>
      <c r="E136" s="4"/>
      <c r="F136" s="42"/>
      <c r="G136" s="40"/>
      <c r="H136" s="63"/>
      <c r="I136" s="63"/>
      <c r="J136" s="63"/>
      <c r="K136" s="43"/>
      <c r="L136" s="31"/>
      <c r="M136" s="31"/>
      <c r="O136" s="35"/>
      <c r="P136" s="35"/>
    </row>
    <row r="137" spans="1:16" ht="12.75">
      <c r="A137" s="30"/>
      <c r="B137" s="30"/>
      <c r="C137" s="30"/>
      <c r="D137" s="30"/>
      <c r="E137" s="30"/>
      <c r="F137" s="39"/>
      <c r="G137" s="40"/>
      <c r="H137" s="4"/>
      <c r="I137" s="41"/>
      <c r="J137" s="41"/>
      <c r="L137" s="31"/>
      <c r="M137" s="31"/>
      <c r="O137" s="35"/>
      <c r="P137" s="35"/>
    </row>
    <row r="138" spans="1:16" ht="12.75">
      <c r="A138" s="30"/>
      <c r="M138" s="31"/>
      <c r="O138" s="30"/>
      <c r="P138" s="35"/>
    </row>
    <row r="139" spans="1:15" ht="12.75">
      <c r="A139" s="30"/>
      <c r="B139" s="4"/>
      <c r="C139" s="4"/>
      <c r="D139" s="4"/>
      <c r="E139" s="4"/>
      <c r="F139" s="44"/>
      <c r="G139" s="40"/>
      <c r="H139" s="4"/>
      <c r="I139" s="41"/>
      <c r="J139" s="41"/>
      <c r="L139" s="31"/>
      <c r="M139" s="31"/>
      <c r="N139" s="30"/>
      <c r="O139" s="31"/>
    </row>
    <row r="140" spans="1:14" ht="12.75">
      <c r="A140" s="30"/>
      <c r="C140" s="30"/>
      <c r="D140" s="30"/>
      <c r="E140" s="30"/>
      <c r="F140" s="44"/>
      <c r="G140" s="40"/>
      <c r="H140" s="30"/>
      <c r="I140" s="31"/>
      <c r="J140" s="31"/>
      <c r="L140" s="31"/>
      <c r="M140" s="31"/>
      <c r="N140" s="30"/>
    </row>
    <row r="141" spans="1:14" s="22" customFormat="1" ht="12.75">
      <c r="A141" s="45"/>
      <c r="B141" s="45"/>
      <c r="C141" s="45"/>
      <c r="D141" s="45"/>
      <c r="E141" s="46"/>
      <c r="G141" s="47"/>
      <c r="H141" s="47"/>
      <c r="I141" s="47"/>
      <c r="J141" s="48"/>
      <c r="K141" s="49"/>
      <c r="L141" s="49"/>
      <c r="M141" s="49"/>
      <c r="N141" s="45"/>
    </row>
    <row r="142" spans="10:14" s="22" customFormat="1" ht="12.75">
      <c r="J142" s="50"/>
      <c r="K142" s="9"/>
      <c r="L142" s="49"/>
      <c r="M142" s="49"/>
      <c r="N142" s="45"/>
    </row>
    <row r="143" spans="11:14" ht="12.75">
      <c r="K143" s="41"/>
      <c r="L143" s="31"/>
      <c r="M143" s="31"/>
      <c r="N143" s="30"/>
    </row>
    <row r="144" spans="12:14" ht="12.75">
      <c r="L144" s="31"/>
      <c r="M144" s="31"/>
      <c r="N144" s="30"/>
    </row>
    <row r="145" spans="11:14" ht="12.75">
      <c r="K145" s="41"/>
      <c r="L145" s="31"/>
      <c r="M145" s="31"/>
      <c r="N145" s="30"/>
    </row>
    <row r="146" spans="11:14" ht="12.75">
      <c r="K146" s="31"/>
      <c r="L146" s="31"/>
      <c r="M146" s="31"/>
      <c r="N146" s="30"/>
    </row>
  </sheetData>
  <mergeCells count="11">
    <mergeCell ref="C1:L1"/>
    <mergeCell ref="C2:L2"/>
    <mergeCell ref="A126:L126"/>
    <mergeCell ref="J6:L6"/>
    <mergeCell ref="H6:I6"/>
    <mergeCell ref="H7:I7"/>
    <mergeCell ref="F6:G6"/>
    <mergeCell ref="I115:K115"/>
    <mergeCell ref="B134:F134"/>
    <mergeCell ref="A6:D6"/>
    <mergeCell ref="A99:L99"/>
  </mergeCells>
  <printOptions horizontalCentered="1"/>
  <pageMargins left="0.5" right="0.5" top="0.5" bottom="0.5" header="0.5" footer="0.5"/>
  <pageSetup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Ag., Env., &amp; Dev. Economics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Moore</dc:creator>
  <cp:keywords/>
  <dc:description/>
  <cp:lastModifiedBy>Barry Ward</cp:lastModifiedBy>
  <cp:lastPrinted>2005-07-27T15:20:48Z</cp:lastPrinted>
  <dcterms:created xsi:type="dcterms:W3CDTF">2002-12-27T16:09:39Z</dcterms:created>
  <dcterms:modified xsi:type="dcterms:W3CDTF">2005-09-08T18:30:36Z</dcterms:modified>
  <cp:category/>
  <cp:version/>
  <cp:contentType/>
  <cp:contentStatus/>
</cp:coreProperties>
</file>