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rr-soy-notill" sheetId="1" r:id="rId1"/>
  </sheets>
  <definedNames>
    <definedName name="_xlnm.Print_Area" localSheetId="0">'rr-soy-notill'!$A$1:$N$109</definedName>
  </definedNames>
  <calcPr fullCalcOnLoad="1"/>
</workbook>
</file>

<file path=xl/sharedStrings.xml><?xml version="1.0" encoding="utf-8"?>
<sst xmlns="http://schemas.openxmlformats.org/spreadsheetml/2006/main" count="121" uniqueCount="120">
  <si>
    <t>No-Tillage Practices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</si>
  <si>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</si>
  <si>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</si>
  <si>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</si>
  <si>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</si>
  <si>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</si>
  <si>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</si>
  <si>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</si>
  <si>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</si>
  <si>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bu</t>
  </si>
  <si>
    <t>VARIABLE  COSTS</t>
  </si>
  <si>
    <t>P2O5(lbs)</t>
  </si>
  <si>
    <t>lb</t>
  </si>
  <si>
    <t>K2O(lbs)</t>
  </si>
  <si>
    <t>Lime(ton)</t>
  </si>
  <si>
    <t>ton</t>
  </si>
  <si>
    <t>Trucking - Fuel Only</t>
  </si>
  <si>
    <t>mo.</t>
  </si>
  <si>
    <t>TOTAL VARIABLE COSTS</t>
  </si>
  <si>
    <t>FIXED COSTS</t>
  </si>
  <si>
    <t>hours</t>
  </si>
  <si>
    <t>/hr</t>
  </si>
  <si>
    <t>Management Charge</t>
  </si>
  <si>
    <t>TOTAL FIXED COSTS</t>
  </si>
  <si>
    <t>TOTAL COSTS</t>
  </si>
  <si>
    <t>-Per Acre</t>
  </si>
  <si>
    <t>-Per Bushel</t>
  </si>
  <si>
    <t>RETURN ABOVE VARIABLE COSTS</t>
  </si>
  <si>
    <t>RETURN ABOVE TOTAL COSTS</t>
  </si>
  <si>
    <t>Assumes only maintenance application of fertilizer needed, soil test values of 25 ppm P/A and 150 ppm K/A.</t>
  </si>
  <si>
    <t xml:space="preserve"> for current prices.</t>
  </si>
  <si>
    <t xml:space="preserve">with weed pressure and previous crop.  Roundup Ready soybeans are often used in part as a tool for perennial </t>
  </si>
  <si>
    <t xml:space="preserve">weed control.  While this intrinsic value is not included in the budget, it should be considered when exploring </t>
  </si>
  <si>
    <t>opportunities with Roundup Ready soybeans.</t>
  </si>
  <si>
    <t>See table below for specific calculations.</t>
  </si>
  <si>
    <t xml:space="preserve">Part or all of labor may be a variable cost if paid labor varies with acres farmed. </t>
  </si>
  <si>
    <t>It’s a fixed cost 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</si>
  <si>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</si>
  <si>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</si>
  <si>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</si>
  <si>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</si>
  <si>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Acres/  Hr</t>
  </si>
  <si>
    <t>Fuel*        ($/A)</t>
  </si>
  <si>
    <t>Repairs ($/A)</t>
  </si>
  <si>
    <t>50 ft. Boom Sprayer</t>
  </si>
  <si>
    <t>Fertilizer Spreader</t>
  </si>
  <si>
    <t>Price of Diesel Fuel</t>
  </si>
  <si>
    <t>/gal</t>
  </si>
  <si>
    <t xml:space="preserve">Machines are all assumed to be new and in the first year of use.  Older/used machines will likely have lower </t>
  </si>
  <si>
    <t xml:space="preserve">machinery costs.  Size of operation will also effect cost of machinery per acre.  For an analysis on machine </t>
  </si>
  <si>
    <t>costs for different sized operations, see economies of scale budgets in this publication</t>
  </si>
  <si>
    <t>Fixed costs rate includes depreciation, interest, housing, and insurance.</t>
  </si>
  <si>
    <t>*Fuel calculations are based on the implement plus tractor.</t>
  </si>
  <si>
    <r>
      <t xml:space="preserve">Soybeans </t>
    </r>
    <r>
      <rPr>
        <vertAlign val="superscript"/>
        <sz val="10"/>
        <rFont val="Arial"/>
        <family val="2"/>
      </rPr>
      <t>1</t>
    </r>
  </si>
  <si>
    <t>2005 ROUNDUP READY SOYBEAN PRODUCTION BUDGET</t>
  </si>
  <si>
    <t>DP Yields</t>
  </si>
  <si>
    <t>CC Yields</t>
  </si>
  <si>
    <t>TOTAL RECEIPTS</t>
  </si>
  <si>
    <t>Herbicide</t>
  </si>
  <si>
    <t>Insecticide</t>
  </si>
  <si>
    <t>Fungicide</t>
  </si>
  <si>
    <t>20 Ft Grain Drill</t>
  </si>
  <si>
    <t>Combine 220 HP</t>
  </si>
  <si>
    <t>20' Grain Head</t>
  </si>
  <si>
    <t>160 HP Tractor</t>
  </si>
  <si>
    <t>75 HP Tractor</t>
  </si>
  <si>
    <t>Price is based on $6.20 November futures minus $0.25 Basis</t>
  </si>
  <si>
    <t>LDP is calculated as loan rate minus market price. LDP is 0 if market price is greater than loan rate.</t>
  </si>
  <si>
    <r>
      <t>LDP</t>
    </r>
    <r>
      <rPr>
        <vertAlign val="superscript"/>
        <sz val="10"/>
        <rFont val="Arial"/>
        <family val="2"/>
      </rPr>
      <t xml:space="preserve"> 2</t>
    </r>
  </si>
  <si>
    <t>(Direct payments are paid only on 85% of base acres.) Direct payment yields are calculated as 85%,</t>
  </si>
  <si>
    <t>Counter Cyclical Payments (CCP) are calculated and included when market price + DP is less than</t>
  </si>
  <si>
    <t xml:space="preserve">Direct Payments (DP) are calculated by multiplying DP Yields by 85% by the DP Price of $0.44/bu. </t>
  </si>
  <si>
    <t>80%, and 80% of the listed yields 35/bushels per acre (bpa), 45/bpa, and 55/bpa, respectively.</t>
  </si>
  <si>
    <r>
      <t xml:space="preserve">Direct Payment </t>
    </r>
    <r>
      <rPr>
        <vertAlign val="superscript"/>
        <sz val="10"/>
        <rFont val="Arial"/>
        <family val="2"/>
      </rPr>
      <t>3</t>
    </r>
  </si>
  <si>
    <r>
      <t xml:space="preserve">C.C. Payment </t>
    </r>
    <r>
      <rPr>
        <vertAlign val="superscript"/>
        <sz val="10"/>
        <rFont val="Arial"/>
        <family val="2"/>
      </rPr>
      <t>3</t>
    </r>
  </si>
  <si>
    <t>the Target Price of $5.80/bu. Calculation of the CCP is based on Counter Cyclical (CC) Yield multiplied</t>
  </si>
  <si>
    <t>by 85% multiplied by the CCP Rate ((Target Price - (Mkt Price + DP)). CC Yield assumed to be same</t>
  </si>
  <si>
    <t>as listed yield.</t>
  </si>
  <si>
    <r>
      <t xml:space="preserve">Seed </t>
    </r>
    <r>
      <rPr>
        <vertAlign val="superscript"/>
        <sz val="10"/>
        <rFont val="Arial"/>
        <family val="2"/>
      </rPr>
      <t>4</t>
    </r>
  </si>
  <si>
    <r>
      <t>Fertilizer</t>
    </r>
    <r>
      <rPr>
        <vertAlign val="superscript"/>
        <sz val="10"/>
        <rFont val="Arial"/>
        <family val="2"/>
      </rPr>
      <t xml:space="preserve"> 5</t>
    </r>
  </si>
  <si>
    <t>seeds/acre</t>
  </si>
  <si>
    <t>seeds</t>
  </si>
  <si>
    <t>Prices were quoted in January, 2005.  Fertilizer prices vary over time and by area.  Check with local sources</t>
  </si>
  <si>
    <r>
      <t xml:space="preserve">Chemicals </t>
    </r>
    <r>
      <rPr>
        <vertAlign val="superscript"/>
        <sz val="10"/>
        <rFont val="Arial"/>
        <family val="2"/>
      </rPr>
      <t>6</t>
    </r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</si>
  <si>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</si>
  <si>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</si>
  <si>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</si>
  <si>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</si>
  <si>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 xml:space="preserve">Int. on Oper. Cap. </t>
    </r>
    <r>
      <rPr>
        <vertAlign val="superscript"/>
        <sz val="10"/>
        <rFont val="Arial"/>
        <family val="2"/>
      </rPr>
      <t>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</si>
  <si>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</si>
  <si>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t>Interest on all variable costs, except trucking, for 5 months at 6.5% interest rate.</t>
  </si>
  <si>
    <t xml:space="preserve">Crop Insurance cost is based on CRC Insurance at 70% coverage level and 100% Price Protection Level. </t>
  </si>
  <si>
    <t>Includes supplies, utilities, soil tests, small tools, etc…</t>
  </si>
  <si>
    <t>Reflects 1500 acres, no-till RR soybeans/conservation tillage corn. See table below for specific calculations.</t>
  </si>
  <si>
    <r>
      <t>Labor Charge</t>
    </r>
    <r>
      <rPr>
        <vertAlign val="superscript"/>
        <sz val="10"/>
        <rFont val="Arial"/>
        <family val="2"/>
      </rPr>
      <t xml:space="preserve"> 12</t>
    </r>
  </si>
  <si>
    <r>
      <t xml:space="preserve">Mach. and Equip. Charge </t>
    </r>
    <r>
      <rPr>
        <vertAlign val="superscript"/>
        <sz val="10"/>
        <rFont val="Arial"/>
        <family val="2"/>
      </rPr>
      <t>13</t>
    </r>
  </si>
  <si>
    <t>Land Charge</t>
  </si>
  <si>
    <r>
      <t xml:space="preserve">RETURN TO LABOR AND MANAGEMENT </t>
    </r>
    <r>
      <rPr>
        <b/>
        <vertAlign val="superscript"/>
        <sz val="10"/>
        <rFont val="Arial"/>
        <family val="2"/>
      </rPr>
      <t>14</t>
    </r>
  </si>
  <si>
    <t>Fuel</t>
  </si>
  <si>
    <t>F&amp;L</t>
  </si>
  <si>
    <t>Machine Inventory Cost of Equipment Used in Corn &amp; Soybean Production x Fixed Costs Rate /  1500 acres plus</t>
  </si>
  <si>
    <t>Machine Inventory Cost of Equipment Used in Corn Production Only x Fixed Costs Rate /  750 acres.</t>
  </si>
  <si>
    <t>=($339,600 x 15% / 1500 acres) + ($60,600 x 15% / 75 acres) = $46/acre</t>
  </si>
  <si>
    <t>Semi Tractor Trailer**</t>
  </si>
  <si>
    <t>Pickup Truck (1/2)**</t>
  </si>
  <si>
    <t>***</t>
  </si>
  <si>
    <t>**Semi Tractor Trailer and Pickup Truck are assumed to be used equipment.</t>
  </si>
  <si>
    <t>***Fuel for Semi is included in Budget as Trucking - Fuel Only</t>
  </si>
  <si>
    <t>Author: Barry Ward, Leader Production Business Management</t>
  </si>
  <si>
    <t>Special Thanks to Robert Moore, former Extension Associate for authoring previous versions.</t>
  </si>
  <si>
    <t>See table below for specific calculations.  Lubrication costs are assumed to be 10% of fuel costs.</t>
  </si>
  <si>
    <t xml:space="preserve">Based on use of glyphosate/2,4-D Ester for burndown and post applications, application rates will vary </t>
  </si>
  <si>
    <t>Machinery Cost</t>
  </si>
  <si>
    <t>Acres per Year</t>
  </si>
  <si>
    <t>Cost per Acre</t>
  </si>
  <si>
    <t>Machinery and Equipment Charge</t>
  </si>
  <si>
    <t>Repairs</t>
  </si>
  <si>
    <t>/gal Dies.</t>
  </si>
  <si>
    <t>/bu</t>
  </si>
  <si>
    <t>Seed costs are $0.20 per 1000 seeds, treated.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</si>
</sst>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72" fontId="0" fillId="0" borderId="0" xfId="0" applyNumberFormat="1" applyFont="1" applyAlignment="1">
      <alignment/>
    </xf>
    <xf numFmtId="2" fontId="0" fillId="0" borderId="4" xfId="0" applyNumberFormat="1" applyFont="1" applyBorder="1" applyAlignment="1" quotePrefix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7" fontId="0" fillId="0" borderId="4" xfId="0" applyNumberFormat="1" applyFont="1" applyBorder="1" applyAlignment="1">
      <alignment/>
    </xf>
    <xf numFmtId="167" fontId="0" fillId="0" borderId="0" xfId="0" applyNumberFormat="1" applyFont="1" applyBorder="1" applyAlignment="1" quotePrefix="1">
      <alignment/>
    </xf>
    <xf numFmtId="49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6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/>
    </xf>
    <xf numFmtId="39" fontId="11" fillId="0" borderId="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9" fontId="11" fillId="0" borderId="0" xfId="21" applyFont="1" applyAlignment="1">
      <alignment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2" fillId="0" borderId="0" xfId="15" applyNumberFormat="1" applyFont="1" applyAlignment="1">
      <alignment horizontal="center"/>
    </xf>
    <xf numFmtId="9" fontId="11" fillId="0" borderId="0" xfId="21" applyFont="1" applyAlignment="1">
      <alignment horizontal="right"/>
    </xf>
    <xf numFmtId="176" fontId="11" fillId="0" borderId="0" xfId="15" applyNumberFormat="1" applyFont="1" applyAlignment="1">
      <alignment/>
    </xf>
    <xf numFmtId="2" fontId="12" fillId="0" borderId="0" xfId="0" applyNumberFormat="1" applyFont="1" applyAlignment="1">
      <alignment/>
    </xf>
    <xf numFmtId="1" fontId="12" fillId="0" borderId="0" xfId="21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left"/>
    </xf>
    <xf numFmtId="7" fontId="12" fillId="0" borderId="0" xfId="17" applyNumberFormat="1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176" fontId="11" fillId="0" borderId="0" xfId="0" applyNumberFormat="1" applyFont="1" applyAlignment="1">
      <alignment horizontal="right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/>
    </xf>
    <xf numFmtId="0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17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2</xdr:col>
      <xdr:colOff>409575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BreakPreview" zoomScaleSheetLayoutView="100" workbookViewId="0" topLeftCell="A1">
      <selection activeCell="D2" sqref="D2:L2"/>
    </sheetView>
  </sheetViews>
  <sheetFormatPr defaultColWidth="9.140625" defaultRowHeight="12.75"/>
  <cols>
    <col min="1" max="2" width="2.7109375" style="0" customWidth="1"/>
    <col min="6" max="6" width="9.28125" style="0" bestFit="1" customWidth="1"/>
    <col min="7" max="7" width="10.00390625" style="0" customWidth="1"/>
    <col min="8" max="8" width="7.57421875" style="0" customWidth="1"/>
    <col min="9" max="9" width="6.140625" style="0" customWidth="1"/>
    <col min="10" max="10" width="7.00390625" style="30" customWidth="1"/>
    <col min="11" max="11" width="7.421875" style="30" customWidth="1"/>
    <col min="12" max="12" width="7.00390625" style="30" customWidth="1"/>
    <col min="13" max="13" width="0.71875" style="0" customWidth="1"/>
    <col min="14" max="14" width="8.8515625" style="0" customWidth="1"/>
    <col min="16" max="16" width="9.28125" style="0" bestFit="1" customWidth="1"/>
  </cols>
  <sheetData>
    <row r="1" spans="1:14" ht="12.75">
      <c r="A1" s="1"/>
      <c r="B1" s="1"/>
      <c r="C1" s="1"/>
      <c r="D1" s="1"/>
      <c r="E1" s="1"/>
      <c r="F1" s="1"/>
      <c r="G1" s="2"/>
      <c r="H1" s="1"/>
      <c r="I1" s="1"/>
      <c r="J1" s="3"/>
      <c r="K1" s="3"/>
      <c r="L1" s="3"/>
      <c r="M1" s="1"/>
      <c r="N1" s="4"/>
    </row>
    <row r="2" spans="1:14" ht="15.75">
      <c r="A2" s="1"/>
      <c r="B2" s="1"/>
      <c r="C2" s="1"/>
      <c r="D2" s="76" t="s">
        <v>54</v>
      </c>
      <c r="E2" s="76"/>
      <c r="F2" s="76"/>
      <c r="G2" s="76"/>
      <c r="H2" s="76"/>
      <c r="I2" s="76"/>
      <c r="J2" s="76"/>
      <c r="K2" s="76"/>
      <c r="L2" s="76"/>
      <c r="M2" s="1"/>
      <c r="N2" s="1"/>
    </row>
    <row r="3" spans="1:14" ht="15.75">
      <c r="A3" s="1"/>
      <c r="B3" s="1"/>
      <c r="C3" s="1"/>
      <c r="D3" s="76" t="s">
        <v>0</v>
      </c>
      <c r="E3" s="76"/>
      <c r="F3" s="76"/>
      <c r="G3" s="76"/>
      <c r="H3" s="76"/>
      <c r="I3" s="76"/>
      <c r="J3" s="76"/>
      <c r="K3" s="76"/>
      <c r="L3" s="76"/>
      <c r="M3" s="1"/>
      <c r="N3" s="1"/>
    </row>
    <row r="4" spans="1:14" ht="15.75">
      <c r="A4" s="1"/>
      <c r="B4" s="1"/>
      <c r="C4" s="1"/>
      <c r="D4" s="1"/>
      <c r="E4" s="1" t="s">
        <v>108</v>
      </c>
      <c r="F4" s="33"/>
      <c r="G4" s="33"/>
      <c r="H4" s="33"/>
      <c r="I4" s="33"/>
      <c r="J4" s="33"/>
      <c r="K4" s="33"/>
      <c r="L4" s="33"/>
      <c r="M4" s="1"/>
      <c r="N4" s="1"/>
    </row>
    <row r="5" spans="1:14" ht="15">
      <c r="A5" s="1"/>
      <c r="B5" s="1"/>
      <c r="C5" s="1"/>
      <c r="D5" s="1" t="s">
        <v>109</v>
      </c>
      <c r="F5" s="1"/>
      <c r="G5" s="1"/>
      <c r="H5" s="1"/>
      <c r="I5" s="5"/>
      <c r="J5" s="3"/>
      <c r="K5" s="3"/>
      <c r="L5" s="3"/>
      <c r="M5" s="1"/>
      <c r="N5" s="1"/>
    </row>
    <row r="6" spans="1:14" ht="12.75">
      <c r="A6" s="6"/>
      <c r="B6" s="6" t="s">
        <v>1</v>
      </c>
      <c r="C6" s="6"/>
      <c r="D6" s="6"/>
      <c r="E6" s="77" t="s">
        <v>2</v>
      </c>
      <c r="F6" s="77"/>
      <c r="G6" s="77"/>
      <c r="H6" s="77" t="s">
        <v>3</v>
      </c>
      <c r="I6" s="77"/>
      <c r="J6" s="79" t="s">
        <v>4</v>
      </c>
      <c r="K6" s="79"/>
      <c r="L6" s="79"/>
      <c r="M6" s="6"/>
      <c r="N6" s="7" t="s">
        <v>5</v>
      </c>
    </row>
    <row r="7" spans="1:14" ht="12.75">
      <c r="A7" s="8"/>
      <c r="B7" s="8"/>
      <c r="C7" s="8"/>
      <c r="D7" s="8"/>
      <c r="E7" s="8"/>
      <c r="F7" s="8"/>
      <c r="G7" s="8"/>
      <c r="H7" s="78" t="s">
        <v>6</v>
      </c>
      <c r="I7" s="78"/>
      <c r="J7" s="10"/>
      <c r="K7" s="10"/>
      <c r="L7" s="10"/>
      <c r="M7" s="8"/>
      <c r="N7" s="9" t="s">
        <v>7</v>
      </c>
    </row>
    <row r="8" spans="1:14" ht="12.75">
      <c r="A8" s="11"/>
      <c r="B8" s="11"/>
      <c r="C8" s="11"/>
      <c r="D8" s="11"/>
      <c r="E8" s="11"/>
      <c r="F8" s="11"/>
      <c r="G8" s="11"/>
      <c r="H8" s="11"/>
      <c r="I8" s="11"/>
      <c r="J8" s="12">
        <v>35</v>
      </c>
      <c r="K8" s="12">
        <v>45</v>
      </c>
      <c r="L8" s="12">
        <v>55</v>
      </c>
      <c r="M8" s="11"/>
      <c r="N8" s="11"/>
    </row>
    <row r="9" spans="1:14" ht="12.75">
      <c r="A9" s="13"/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  <c r="M9" s="13"/>
      <c r="N9" s="13"/>
    </row>
    <row r="10" spans="1:14" ht="12.75">
      <c r="A10" s="15" t="s">
        <v>8</v>
      </c>
      <c r="B10" s="1"/>
      <c r="C10" s="1"/>
      <c r="D10" s="1"/>
      <c r="E10" s="1"/>
      <c r="F10" s="1"/>
      <c r="G10" s="1"/>
      <c r="H10" s="1"/>
      <c r="I10" s="1"/>
      <c r="J10" s="3"/>
      <c r="K10" s="3"/>
      <c r="L10" s="3"/>
      <c r="M10" s="1"/>
      <c r="N10" s="1"/>
    </row>
    <row r="11" spans="1:14" ht="14.25">
      <c r="A11" s="1"/>
      <c r="B11" s="1"/>
      <c r="C11" s="1" t="s">
        <v>53</v>
      </c>
      <c r="D11" s="1"/>
      <c r="E11" s="1"/>
      <c r="F11" s="1"/>
      <c r="G11" s="1"/>
      <c r="H11" s="16">
        <v>5.95</v>
      </c>
      <c r="I11" s="1" t="s">
        <v>9</v>
      </c>
      <c r="J11" s="17">
        <f>+$H$11*J8</f>
        <v>208.25</v>
      </c>
      <c r="K11" s="17">
        <f>+$H$11*K8</f>
        <v>267.75</v>
      </c>
      <c r="L11" s="17">
        <f>+$H$11*L8</f>
        <v>327.25</v>
      </c>
      <c r="M11" s="1"/>
      <c r="N11" s="18"/>
    </row>
    <row r="12" spans="1:14" ht="14.25">
      <c r="A12" s="1"/>
      <c r="B12" s="1"/>
      <c r="C12" s="1" t="s">
        <v>68</v>
      </c>
      <c r="D12" s="1"/>
      <c r="E12" s="1"/>
      <c r="G12" s="1"/>
      <c r="H12" s="16">
        <v>0</v>
      </c>
      <c r="I12" s="1"/>
      <c r="J12" s="32">
        <v>0</v>
      </c>
      <c r="K12" s="17">
        <v>0</v>
      </c>
      <c r="L12" s="17">
        <v>0</v>
      </c>
      <c r="M12" s="1"/>
      <c r="N12" s="13"/>
    </row>
    <row r="13" spans="1:14" ht="12.75">
      <c r="A13" s="1"/>
      <c r="B13" s="1"/>
      <c r="C13" s="1"/>
      <c r="D13" s="1"/>
      <c r="E13" s="1"/>
      <c r="F13" s="1" t="s">
        <v>55</v>
      </c>
      <c r="G13" s="1"/>
      <c r="H13" s="16"/>
      <c r="I13" s="1"/>
      <c r="J13" s="32"/>
      <c r="K13" s="17"/>
      <c r="L13" s="17"/>
      <c r="M13" s="1"/>
      <c r="N13" s="13"/>
    </row>
    <row r="14" spans="1:14" ht="14.25">
      <c r="A14" s="1"/>
      <c r="B14" s="1"/>
      <c r="C14" s="1" t="s">
        <v>73</v>
      </c>
      <c r="D14" s="1"/>
      <c r="E14" s="4">
        <v>29.8</v>
      </c>
      <c r="F14" s="4">
        <v>36</v>
      </c>
      <c r="G14" s="4">
        <v>44</v>
      </c>
      <c r="H14" s="16">
        <v>0.44</v>
      </c>
      <c r="I14" s="4"/>
      <c r="J14" s="32">
        <f>E14*$H$14*0.85</f>
        <v>11.145199999999999</v>
      </c>
      <c r="K14" s="32">
        <f>F14*$H$14*0.85</f>
        <v>13.464</v>
      </c>
      <c r="L14" s="32">
        <f>G14*$H$14*0.85</f>
        <v>16.456</v>
      </c>
      <c r="M14" s="1"/>
      <c r="N14" s="13"/>
    </row>
    <row r="15" spans="1:14" ht="12.75">
      <c r="A15" s="1"/>
      <c r="B15" s="1"/>
      <c r="C15" s="1"/>
      <c r="D15" s="1"/>
      <c r="E15" s="4"/>
      <c r="F15" s="4" t="s">
        <v>56</v>
      </c>
      <c r="G15" s="4"/>
      <c r="H15" s="16"/>
      <c r="I15" s="1"/>
      <c r="J15" s="32"/>
      <c r="K15" s="17"/>
      <c r="L15" s="17"/>
      <c r="M15" s="1"/>
      <c r="N15" s="13"/>
    </row>
    <row r="16" spans="1:14" ht="14.25">
      <c r="A16" s="1"/>
      <c r="B16" s="1"/>
      <c r="C16" s="1" t="s">
        <v>74</v>
      </c>
      <c r="D16" s="1"/>
      <c r="E16" s="4">
        <v>32.7</v>
      </c>
      <c r="F16" s="4">
        <v>42.1</v>
      </c>
      <c r="G16" s="4">
        <v>51.4</v>
      </c>
      <c r="H16" s="16">
        <v>0</v>
      </c>
      <c r="I16" s="4"/>
      <c r="J16" s="32">
        <f>E16*$H$16*0.85</f>
        <v>0</v>
      </c>
      <c r="K16" s="32">
        <f>F16*$H$16*0.85</f>
        <v>0</v>
      </c>
      <c r="L16" s="32">
        <f>G16*$H$16*0.85</f>
        <v>0</v>
      </c>
      <c r="M16" s="1"/>
      <c r="N16" s="13"/>
    </row>
    <row r="17" spans="1:14" ht="12.75">
      <c r="A17" s="1"/>
      <c r="B17" s="1"/>
      <c r="C17" s="1"/>
      <c r="D17" s="1"/>
      <c r="H17" s="16"/>
      <c r="I17" s="4"/>
      <c r="J17" s="32"/>
      <c r="K17" s="17"/>
      <c r="L17" s="17"/>
      <c r="M17" s="1"/>
      <c r="N17" s="13"/>
    </row>
    <row r="18" spans="1:14" ht="12.75">
      <c r="A18" s="15" t="s">
        <v>57</v>
      </c>
      <c r="B18" s="1"/>
      <c r="C18" s="1"/>
      <c r="D18" s="1"/>
      <c r="E18" s="1"/>
      <c r="F18" s="1"/>
      <c r="G18" s="1"/>
      <c r="H18" s="1"/>
      <c r="I18" s="1"/>
      <c r="J18" s="17">
        <f>SUM(J11:J16)</f>
        <v>219.3952</v>
      </c>
      <c r="K18" s="17">
        <f>SUM(K11:K16)</f>
        <v>281.214</v>
      </c>
      <c r="L18" s="17">
        <f>SUM(L11:L16)</f>
        <v>343.706</v>
      </c>
      <c r="M18" s="1"/>
      <c r="N18" s="1"/>
    </row>
    <row r="19" spans="1:14" ht="12.75">
      <c r="A19" s="15" t="s">
        <v>10</v>
      </c>
      <c r="B19" s="1"/>
      <c r="C19" s="1"/>
      <c r="D19" s="1"/>
      <c r="E19" s="1"/>
      <c r="F19" s="1"/>
      <c r="G19" s="1"/>
      <c r="H19" s="1"/>
      <c r="I19" s="1"/>
      <c r="J19" s="3"/>
      <c r="K19" s="3"/>
      <c r="L19" s="3"/>
      <c r="M19" s="1"/>
      <c r="N19" s="1"/>
    </row>
    <row r="20" spans="1:14" ht="14.25">
      <c r="A20" s="1"/>
      <c r="B20" s="1" t="s">
        <v>78</v>
      </c>
      <c r="C20" s="1"/>
      <c r="D20" s="1"/>
      <c r="E20" s="1"/>
      <c r="F20" s="1">
        <v>180000</v>
      </c>
      <c r="G20" s="1" t="s">
        <v>80</v>
      </c>
      <c r="H20" s="3">
        <v>0.2</v>
      </c>
      <c r="I20" s="4">
        <v>1000</v>
      </c>
      <c r="J20" s="19">
        <f>$F$20/1000*$H$20</f>
        <v>36</v>
      </c>
      <c r="K20" s="19">
        <f>$F$20/1000*$H$20</f>
        <v>36</v>
      </c>
      <c r="L20" s="19">
        <f>$F$20/1000*$H$20</f>
        <v>36</v>
      </c>
      <c r="M20" s="1"/>
      <c r="N20" s="18"/>
    </row>
    <row r="21" spans="1:14" ht="14.25">
      <c r="A21" s="1"/>
      <c r="B21" s="1" t="s">
        <v>79</v>
      </c>
      <c r="C21" s="1"/>
      <c r="D21" s="1"/>
      <c r="E21" s="1"/>
      <c r="F21" s="1"/>
      <c r="G21" s="1"/>
      <c r="H21" s="1"/>
      <c r="I21" s="4" t="s">
        <v>81</v>
      </c>
      <c r="J21" s="19"/>
      <c r="K21" s="19"/>
      <c r="L21" s="19"/>
      <c r="M21" s="1"/>
      <c r="N21" s="20"/>
    </row>
    <row r="22" spans="1:14" ht="12.75">
      <c r="A22" s="1"/>
      <c r="B22" s="1"/>
      <c r="C22" s="1" t="s">
        <v>11</v>
      </c>
      <c r="D22" s="1"/>
      <c r="E22" s="1">
        <f>J8*0.8</f>
        <v>28</v>
      </c>
      <c r="F22" s="1">
        <f>K8*0.8</f>
        <v>36</v>
      </c>
      <c r="G22" s="1">
        <f>L8*0.8</f>
        <v>44</v>
      </c>
      <c r="H22" s="1">
        <v>0.3</v>
      </c>
      <c r="I22" s="1" t="s">
        <v>12</v>
      </c>
      <c r="J22" s="19">
        <f>+$H$22*E22</f>
        <v>8.4</v>
      </c>
      <c r="K22" s="19">
        <f>+$H$22*F22</f>
        <v>10.799999999999999</v>
      </c>
      <c r="L22" s="19">
        <f>+$H$22*G22</f>
        <v>13.2</v>
      </c>
      <c r="M22" s="1"/>
      <c r="N22" s="20"/>
    </row>
    <row r="23" spans="1:14" ht="12.75">
      <c r="A23" s="1"/>
      <c r="B23" s="1"/>
      <c r="C23" s="1" t="s">
        <v>13</v>
      </c>
      <c r="D23" s="1"/>
      <c r="E23" s="1">
        <f>(J8*1.4)+20</f>
        <v>69</v>
      </c>
      <c r="F23" s="1">
        <f>(K8*1.4)+20</f>
        <v>83</v>
      </c>
      <c r="G23" s="1">
        <f>(L8*1.4)+20</f>
        <v>97</v>
      </c>
      <c r="H23" s="1">
        <v>0.18</v>
      </c>
      <c r="I23" s="1" t="s">
        <v>12</v>
      </c>
      <c r="J23" s="19">
        <f>+$H$23*E23</f>
        <v>12.42</v>
      </c>
      <c r="K23" s="19">
        <f>+$H$23*F23</f>
        <v>14.94</v>
      </c>
      <c r="L23" s="19">
        <f>+$H$23*G23</f>
        <v>17.46</v>
      </c>
      <c r="M23" s="1"/>
      <c r="N23" s="20"/>
    </row>
    <row r="24" spans="1:14" ht="12.75">
      <c r="A24" s="1"/>
      <c r="B24" s="1"/>
      <c r="C24" s="1" t="s">
        <v>14</v>
      </c>
      <c r="D24" s="1"/>
      <c r="E24" s="1"/>
      <c r="F24" s="1">
        <v>0.25</v>
      </c>
      <c r="G24" s="1"/>
      <c r="H24" s="1">
        <v>22</v>
      </c>
      <c r="I24" s="1" t="s">
        <v>15</v>
      </c>
      <c r="J24" s="19">
        <f>+F24*H24</f>
        <v>5.5</v>
      </c>
      <c r="K24" s="19">
        <f>+F24*H24</f>
        <v>5.5</v>
      </c>
      <c r="L24" s="19">
        <f>+F24*H24</f>
        <v>5.5</v>
      </c>
      <c r="M24" s="1"/>
      <c r="N24" s="20"/>
    </row>
    <row r="25" spans="1:14" ht="14.25">
      <c r="A25" s="1"/>
      <c r="B25" s="1" t="s">
        <v>83</v>
      </c>
      <c r="C25" s="1"/>
      <c r="D25" s="1" t="s">
        <v>58</v>
      </c>
      <c r="E25" s="1"/>
      <c r="F25" s="1"/>
      <c r="G25" s="1"/>
      <c r="H25" s="1"/>
      <c r="I25" s="1"/>
      <c r="J25" s="19">
        <v>21.1</v>
      </c>
      <c r="K25" s="19">
        <v>21.1</v>
      </c>
      <c r="L25" s="19">
        <v>21.1</v>
      </c>
      <c r="M25" s="1"/>
      <c r="N25" s="20"/>
    </row>
    <row r="26" spans="1:14" ht="12.75">
      <c r="A26" s="1"/>
      <c r="B26" s="1"/>
      <c r="C26" s="1"/>
      <c r="D26" s="1" t="s">
        <v>59</v>
      </c>
      <c r="E26" s="1"/>
      <c r="F26" s="1"/>
      <c r="G26" s="1"/>
      <c r="H26" s="1"/>
      <c r="I26" s="1"/>
      <c r="J26" s="19">
        <v>0</v>
      </c>
      <c r="K26" s="19">
        <v>0</v>
      </c>
      <c r="L26" s="19">
        <v>0</v>
      </c>
      <c r="M26" s="1"/>
      <c r="N26" s="20"/>
    </row>
    <row r="27" spans="1:14" ht="12.75">
      <c r="A27" s="1"/>
      <c r="B27" s="1"/>
      <c r="C27" s="1"/>
      <c r="D27" s="1" t="s">
        <v>60</v>
      </c>
      <c r="E27" s="1"/>
      <c r="F27" s="1"/>
      <c r="G27" s="1"/>
      <c r="H27" s="1"/>
      <c r="I27" s="1"/>
      <c r="J27" s="19">
        <v>0</v>
      </c>
      <c r="K27" s="19">
        <v>0</v>
      </c>
      <c r="L27" s="19">
        <v>0</v>
      </c>
      <c r="M27" s="1"/>
      <c r="N27" s="20"/>
    </row>
    <row r="28" spans="1:14" ht="12.75">
      <c r="A28" s="1"/>
      <c r="B28" s="1" t="s">
        <v>16</v>
      </c>
      <c r="C28" s="1"/>
      <c r="D28" s="1"/>
      <c r="E28" s="16">
        <v>1.85</v>
      </c>
      <c r="F28" s="1" t="s">
        <v>117</v>
      </c>
      <c r="G28" s="16">
        <f>0.038+(10/10*E28/900)</f>
        <v>0.04005555555555555</v>
      </c>
      <c r="H28" s="1" t="s">
        <v>118</v>
      </c>
      <c r="I28" s="1"/>
      <c r="J28" s="19">
        <f>+$G$28*J8</f>
        <v>1.4019444444444444</v>
      </c>
      <c r="K28" s="19">
        <f>+$G$28*K8</f>
        <v>1.8024999999999998</v>
      </c>
      <c r="L28" s="19">
        <f>+$G$28*L8</f>
        <v>2.2030555555555553</v>
      </c>
      <c r="M28" s="1"/>
      <c r="N28" s="20"/>
    </row>
    <row r="29" spans="1:14" ht="14.25">
      <c r="A29" s="1"/>
      <c r="B29" s="1" t="s">
        <v>84</v>
      </c>
      <c r="C29" s="1"/>
      <c r="D29" s="1"/>
      <c r="E29" s="1"/>
      <c r="F29" s="1"/>
      <c r="G29" s="1"/>
      <c r="H29" s="1"/>
      <c r="I29" s="1"/>
      <c r="J29" s="19">
        <f>+$J$95</f>
        <v>5.14855</v>
      </c>
      <c r="K29" s="19">
        <f>+$J$95</f>
        <v>5.14855</v>
      </c>
      <c r="L29" s="19">
        <f>+$J$95</f>
        <v>5.14855</v>
      </c>
      <c r="M29" s="1"/>
      <c r="N29" s="20"/>
    </row>
    <row r="30" spans="1:14" ht="14.25">
      <c r="A30" s="1"/>
      <c r="B30" s="1" t="s">
        <v>85</v>
      </c>
      <c r="C30" s="1"/>
      <c r="D30" s="1"/>
      <c r="E30" s="1"/>
      <c r="F30" s="1"/>
      <c r="G30" s="1"/>
      <c r="H30" s="1"/>
      <c r="I30" s="1"/>
      <c r="J30" s="19">
        <f>+$L$95</f>
        <v>9.39</v>
      </c>
      <c r="K30" s="19">
        <f>+$L$95</f>
        <v>9.39</v>
      </c>
      <c r="L30" s="19">
        <f>+$L$95</f>
        <v>9.39</v>
      </c>
      <c r="M30" s="1"/>
      <c r="N30" s="20"/>
    </row>
    <row r="31" spans="1:14" ht="14.25">
      <c r="A31" s="1"/>
      <c r="B31" s="1" t="s">
        <v>86</v>
      </c>
      <c r="C31" s="1"/>
      <c r="D31" s="1"/>
      <c r="E31" s="1"/>
      <c r="F31" s="1"/>
      <c r="G31" s="1"/>
      <c r="H31" s="1"/>
      <c r="I31" s="1"/>
      <c r="J31" s="19">
        <v>4.56</v>
      </c>
      <c r="K31" s="19">
        <v>4.5</v>
      </c>
      <c r="L31" s="19">
        <v>4.7</v>
      </c>
      <c r="M31" s="1"/>
      <c r="N31" s="20"/>
    </row>
    <row r="32" spans="1:14" ht="14.25">
      <c r="A32" s="1"/>
      <c r="B32" s="1" t="s">
        <v>87</v>
      </c>
      <c r="C32" s="1"/>
      <c r="D32" s="1"/>
      <c r="E32" s="1"/>
      <c r="F32" s="1"/>
      <c r="G32" s="1"/>
      <c r="H32" s="1"/>
      <c r="I32" s="1"/>
      <c r="J32" s="19">
        <v>7</v>
      </c>
      <c r="K32" s="19">
        <v>7</v>
      </c>
      <c r="L32" s="19">
        <v>7</v>
      </c>
      <c r="M32" s="1"/>
      <c r="N32" s="20"/>
    </row>
    <row r="33" spans="1:14" ht="14.25">
      <c r="A33" s="1"/>
      <c r="B33" s="1" t="s">
        <v>88</v>
      </c>
      <c r="C33" s="1"/>
      <c r="D33" s="1"/>
      <c r="E33" s="1"/>
      <c r="F33" s="1">
        <v>5</v>
      </c>
      <c r="G33" s="1" t="s">
        <v>17</v>
      </c>
      <c r="H33" s="21">
        <v>0.065</v>
      </c>
      <c r="I33" s="1"/>
      <c r="J33" s="19">
        <f>(SUM(J20:J32)-J28)*$H$33*($F$33/12)</f>
        <v>2.9661273958333334</v>
      </c>
      <c r="K33" s="19">
        <f>(SUM(K20:K32)-K28)*$H$33*($F$33/12)</f>
        <v>3.0977523958333335</v>
      </c>
      <c r="L33" s="19">
        <f>(SUM(L20:L32)-L28)*$H$33*($F$33/12)</f>
        <v>3.2364190625</v>
      </c>
      <c r="M33" s="1"/>
      <c r="N33" s="20"/>
    </row>
    <row r="34" spans="1:14" ht="14.25">
      <c r="A34" s="1"/>
      <c r="B34" s="1" t="s">
        <v>89</v>
      </c>
      <c r="C34" s="1"/>
      <c r="D34" s="1"/>
      <c r="E34" s="1"/>
      <c r="F34" s="1"/>
      <c r="G34" s="1"/>
      <c r="H34" s="1"/>
      <c r="I34" s="1"/>
      <c r="J34" s="19">
        <v>0</v>
      </c>
      <c r="K34" s="19">
        <v>0</v>
      </c>
      <c r="L34" s="19">
        <v>0</v>
      </c>
      <c r="M34" s="1"/>
      <c r="N34" s="20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22"/>
      <c r="K35" s="22"/>
      <c r="L35" s="22"/>
      <c r="M35" s="23"/>
      <c r="N35" s="24"/>
    </row>
    <row r="36" spans="1:14" ht="12.75">
      <c r="A36" s="15" t="s">
        <v>18</v>
      </c>
      <c r="B36" s="1"/>
      <c r="C36" s="1"/>
      <c r="D36" s="1"/>
      <c r="E36" s="1"/>
      <c r="F36" s="1"/>
      <c r="G36" s="1"/>
      <c r="H36" s="1"/>
      <c r="I36" s="1"/>
      <c r="J36" s="25">
        <f>SUM(J20:J35)</f>
        <v>113.88662184027778</v>
      </c>
      <c r="K36" s="25">
        <f>SUM(K20:K35)</f>
        <v>119.27880239583334</v>
      </c>
      <c r="L36" s="25">
        <f>SUM(L20:L35)</f>
        <v>124.93802461805555</v>
      </c>
      <c r="M36" s="1"/>
      <c r="N36" s="18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26">
        <f>+J36/J8</f>
        <v>3.2539034811507936</v>
      </c>
      <c r="K37" s="26">
        <f>+K36/K8</f>
        <v>2.650640053240741</v>
      </c>
      <c r="L37" s="26">
        <f>+L36/L8</f>
        <v>2.27160044760101</v>
      </c>
      <c r="M37" s="1"/>
      <c r="N37" s="18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25"/>
      <c r="K38" s="25"/>
      <c r="L38" s="25"/>
      <c r="M38" s="1"/>
      <c r="N38" s="1"/>
    </row>
    <row r="39" spans="1:14" ht="12.75">
      <c r="A39" s="15" t="s">
        <v>19</v>
      </c>
      <c r="B39" s="1"/>
      <c r="C39" s="1"/>
      <c r="D39" s="1"/>
      <c r="E39" s="1"/>
      <c r="F39" s="1"/>
      <c r="G39" s="1"/>
      <c r="H39" s="1"/>
      <c r="I39" s="1"/>
      <c r="J39" s="25"/>
      <c r="K39" s="25"/>
      <c r="L39" s="25"/>
      <c r="M39" s="1"/>
      <c r="N39" s="1"/>
    </row>
    <row r="40" spans="1:14" ht="14.25">
      <c r="A40" s="1"/>
      <c r="B40" s="1" t="s">
        <v>94</v>
      </c>
      <c r="C40" s="1"/>
      <c r="D40" s="1"/>
      <c r="E40" s="1"/>
      <c r="F40" s="1">
        <v>2</v>
      </c>
      <c r="G40" s="1" t="s">
        <v>20</v>
      </c>
      <c r="H40" s="3">
        <v>10</v>
      </c>
      <c r="I40" s="1" t="s">
        <v>21</v>
      </c>
      <c r="J40" s="25">
        <f>+$F$40*$H$40</f>
        <v>20</v>
      </c>
      <c r="K40" s="25">
        <f>+$F$40*$H$40</f>
        <v>20</v>
      </c>
      <c r="L40" s="25">
        <f>+$F$40*$H$40</f>
        <v>20</v>
      </c>
      <c r="M40" s="1"/>
      <c r="N40" s="18"/>
    </row>
    <row r="41" spans="1:14" ht="14.25">
      <c r="A41" s="1"/>
      <c r="B41" s="1" t="s">
        <v>95</v>
      </c>
      <c r="C41" s="1"/>
      <c r="D41" s="1"/>
      <c r="E41" s="1"/>
      <c r="F41" s="1"/>
      <c r="G41" s="1"/>
      <c r="H41" s="1"/>
      <c r="I41" s="1"/>
      <c r="J41" s="25">
        <f>$H$95</f>
        <v>38.769999999999996</v>
      </c>
      <c r="K41" s="25">
        <f>$H$95</f>
        <v>38.769999999999996</v>
      </c>
      <c r="L41" s="25">
        <f>$H$95</f>
        <v>38.769999999999996</v>
      </c>
      <c r="M41" s="1"/>
      <c r="N41" s="20"/>
    </row>
    <row r="42" spans="1:14" ht="12.75">
      <c r="A42" s="1"/>
      <c r="B42" s="1" t="s">
        <v>96</v>
      </c>
      <c r="C42" s="1"/>
      <c r="D42" s="1"/>
      <c r="E42" s="1"/>
      <c r="F42" s="1"/>
      <c r="G42" s="1"/>
      <c r="H42" s="1"/>
      <c r="I42" s="1"/>
      <c r="J42" s="25">
        <v>70</v>
      </c>
      <c r="K42" s="25">
        <v>90</v>
      </c>
      <c r="L42" s="25">
        <v>120</v>
      </c>
      <c r="M42" s="1"/>
      <c r="N42" s="20"/>
    </row>
    <row r="43" spans="1:14" ht="12.75">
      <c r="A43" s="1"/>
      <c r="B43" s="1" t="s">
        <v>22</v>
      </c>
      <c r="C43" s="1"/>
      <c r="D43" s="1"/>
      <c r="E43" s="1"/>
      <c r="F43" s="1"/>
      <c r="G43" s="1"/>
      <c r="H43" s="1"/>
      <c r="I43" s="1"/>
      <c r="J43" s="27">
        <f>0.05*J11</f>
        <v>10.412500000000001</v>
      </c>
      <c r="K43" s="27">
        <f>0.05*K11</f>
        <v>13.387500000000001</v>
      </c>
      <c r="L43" s="27">
        <f>0.05*L11</f>
        <v>16.3625</v>
      </c>
      <c r="M43" s="23"/>
      <c r="N43" s="24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28"/>
      <c r="K44" s="28"/>
      <c r="L44" s="28"/>
      <c r="M44" s="13"/>
      <c r="N44" s="13"/>
    </row>
    <row r="45" spans="1:14" ht="12.75">
      <c r="A45" s="15" t="s">
        <v>23</v>
      </c>
      <c r="B45" s="1"/>
      <c r="C45" s="1"/>
      <c r="D45" s="1"/>
      <c r="E45" s="1"/>
      <c r="F45" s="1"/>
      <c r="G45" s="1"/>
      <c r="H45" s="1"/>
      <c r="I45" s="1"/>
      <c r="J45" s="25">
        <f>SUM(J40:J44)</f>
        <v>139.18249999999998</v>
      </c>
      <c r="K45" s="25">
        <f>SUM(K40:K44)</f>
        <v>162.15749999999997</v>
      </c>
      <c r="L45" s="25">
        <f>SUM(L40:L44)</f>
        <v>195.1325</v>
      </c>
      <c r="M45" s="1"/>
      <c r="N45" s="18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25"/>
      <c r="K46" s="25"/>
      <c r="L46" s="25"/>
      <c r="M46" s="1"/>
      <c r="N46" s="1"/>
    </row>
    <row r="47" spans="1:14" ht="12.75">
      <c r="A47" s="15" t="s">
        <v>24</v>
      </c>
      <c r="B47" s="1"/>
      <c r="C47" s="1"/>
      <c r="D47" s="1"/>
      <c r="E47" s="1"/>
      <c r="F47" s="29" t="s">
        <v>25</v>
      </c>
      <c r="G47" s="1"/>
      <c r="H47" s="1"/>
      <c r="I47" s="1"/>
      <c r="J47" s="25">
        <f>+J36+J45</f>
        <v>253.06912184027777</v>
      </c>
      <c r="K47" s="25">
        <f>+K36+K45</f>
        <v>281.4363023958333</v>
      </c>
      <c r="L47" s="25">
        <f>+L36+L45</f>
        <v>320.0705246180555</v>
      </c>
      <c r="M47" s="1"/>
      <c r="N47" s="18"/>
    </row>
    <row r="48" spans="1:14" ht="12.75">
      <c r="A48" s="15"/>
      <c r="B48" s="1"/>
      <c r="C48" s="1"/>
      <c r="D48" s="1"/>
      <c r="E48" s="1"/>
      <c r="F48" s="29" t="s">
        <v>26</v>
      </c>
      <c r="G48" s="1"/>
      <c r="H48" s="1"/>
      <c r="I48" s="1"/>
      <c r="J48" s="26">
        <f>+J47/J8</f>
        <v>7.23054633829365</v>
      </c>
      <c r="K48" s="26">
        <f>+K47/K8</f>
        <v>6.25414005324074</v>
      </c>
      <c r="L48" s="26">
        <f>+L47/L8</f>
        <v>5.819464083964646</v>
      </c>
      <c r="M48" s="1"/>
      <c r="N48" s="18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25"/>
      <c r="K49" s="25"/>
      <c r="L49" s="25"/>
      <c r="M49" s="1"/>
      <c r="N49" s="1"/>
    </row>
    <row r="50" spans="1:14" ht="12.75">
      <c r="A50" s="15" t="s">
        <v>27</v>
      </c>
      <c r="B50" s="1"/>
      <c r="C50" s="1"/>
      <c r="D50" s="1"/>
      <c r="E50" s="1"/>
      <c r="F50" s="1"/>
      <c r="G50" s="1"/>
      <c r="H50" s="1"/>
      <c r="I50" s="1"/>
      <c r="J50" s="25">
        <f>+J11-J36</f>
        <v>94.36337815972222</v>
      </c>
      <c r="K50" s="25">
        <f>+K11-K36</f>
        <v>148.47119760416666</v>
      </c>
      <c r="L50" s="25">
        <f>+L11-L36</f>
        <v>202.31197538194445</v>
      </c>
      <c r="M50" s="1"/>
      <c r="N50" s="18"/>
    </row>
    <row r="51" spans="1:14" ht="12.75">
      <c r="A51" s="15" t="s">
        <v>28</v>
      </c>
      <c r="B51" s="1"/>
      <c r="C51" s="1"/>
      <c r="D51" s="1"/>
      <c r="E51" s="1"/>
      <c r="F51" s="1"/>
      <c r="G51" s="1"/>
      <c r="H51" s="1"/>
      <c r="I51" s="1"/>
      <c r="J51" s="25">
        <f>+J11-J47</f>
        <v>-44.819121840277774</v>
      </c>
      <c r="K51" s="25">
        <f>+K11-K47</f>
        <v>-13.686302395833309</v>
      </c>
      <c r="L51" s="25">
        <f>+L11-L47</f>
        <v>7.179475381944485</v>
      </c>
      <c r="M51" s="1"/>
      <c r="N51" s="18"/>
    </row>
    <row r="52" spans="1:14" ht="14.25">
      <c r="A52" s="15" t="s">
        <v>97</v>
      </c>
      <c r="B52" s="1"/>
      <c r="C52" s="1"/>
      <c r="D52" s="1"/>
      <c r="E52" s="1"/>
      <c r="F52" s="1"/>
      <c r="G52" s="1"/>
      <c r="H52" s="1"/>
      <c r="I52" s="1"/>
      <c r="J52" s="25">
        <f>+J51+J43+J40</f>
        <v>-14.406621840277772</v>
      </c>
      <c r="K52" s="25">
        <f>+K51+K43+K40</f>
        <v>19.701197604166694</v>
      </c>
      <c r="L52" s="25">
        <f>+L51+L43+L40</f>
        <v>43.54197538194448</v>
      </c>
      <c r="M52" s="1"/>
      <c r="N52" s="20"/>
    </row>
    <row r="53" spans="1:14" ht="12.75">
      <c r="A53" s="15"/>
      <c r="B53" s="1"/>
      <c r="C53" s="1"/>
      <c r="D53" s="1"/>
      <c r="E53" s="1"/>
      <c r="F53" s="1"/>
      <c r="G53" s="1"/>
      <c r="H53" s="1"/>
      <c r="I53" s="1"/>
      <c r="J53" s="25"/>
      <c r="K53" s="25"/>
      <c r="L53" s="25"/>
      <c r="M53" s="1"/>
      <c r="N53" s="13"/>
    </row>
    <row r="54" spans="1:14" ht="12.75">
      <c r="A54" s="15"/>
      <c r="B54" s="1"/>
      <c r="C54" s="1"/>
      <c r="D54" s="1"/>
      <c r="E54" s="1"/>
      <c r="F54" s="1"/>
      <c r="G54" s="1"/>
      <c r="H54" s="1"/>
      <c r="I54" s="1"/>
      <c r="J54" s="25"/>
      <c r="K54" s="25"/>
      <c r="L54" s="25"/>
      <c r="M54" s="1"/>
      <c r="N54" s="13"/>
    </row>
    <row r="55" spans="1:14" ht="13.5">
      <c r="A55" s="34">
        <v>1</v>
      </c>
      <c r="B55" s="35" t="s">
        <v>66</v>
      </c>
      <c r="C55" s="35"/>
      <c r="D55" s="35"/>
      <c r="E55" s="35"/>
      <c r="F55" s="35"/>
      <c r="G55" s="35"/>
      <c r="H55" s="35"/>
      <c r="I55" s="35"/>
      <c r="J55" s="36"/>
      <c r="K55" s="36"/>
      <c r="L55" s="36"/>
      <c r="M55" s="35"/>
      <c r="N55" s="1"/>
    </row>
    <row r="56" spans="1:14" ht="13.5">
      <c r="A56" s="34">
        <v>2</v>
      </c>
      <c r="B56" s="35" t="s">
        <v>67</v>
      </c>
      <c r="C56" s="35"/>
      <c r="D56" s="35"/>
      <c r="E56" s="35"/>
      <c r="F56" s="35"/>
      <c r="G56" s="35"/>
      <c r="H56" s="35"/>
      <c r="I56" s="35"/>
      <c r="J56" s="36"/>
      <c r="K56" s="36"/>
      <c r="L56" s="36"/>
      <c r="M56" s="35"/>
      <c r="N56" s="35"/>
    </row>
    <row r="57" spans="1:14" ht="13.5">
      <c r="A57" s="34">
        <v>3</v>
      </c>
      <c r="B57" s="35" t="s">
        <v>71</v>
      </c>
      <c r="C57" s="35"/>
      <c r="D57" s="35"/>
      <c r="E57" s="35"/>
      <c r="F57" s="35"/>
      <c r="G57" s="35"/>
      <c r="H57" s="35"/>
      <c r="I57" s="35"/>
      <c r="J57" s="36"/>
      <c r="K57" s="36"/>
      <c r="L57" s="36"/>
      <c r="M57" s="35"/>
      <c r="N57" s="35"/>
    </row>
    <row r="58" spans="1:14" ht="13.5">
      <c r="A58" s="34"/>
      <c r="B58" s="35"/>
      <c r="C58" s="35" t="s">
        <v>69</v>
      </c>
      <c r="D58" s="35"/>
      <c r="E58" s="35"/>
      <c r="F58" s="35"/>
      <c r="G58" s="35"/>
      <c r="H58" s="35"/>
      <c r="I58" s="35"/>
      <c r="J58" s="36"/>
      <c r="K58" s="36"/>
      <c r="L58" s="36"/>
      <c r="M58" s="35"/>
      <c r="N58" s="35"/>
    </row>
    <row r="59" spans="1:14" ht="13.5">
      <c r="A59" s="34"/>
      <c r="B59" s="35"/>
      <c r="C59" s="35" t="s">
        <v>72</v>
      </c>
      <c r="D59" s="35"/>
      <c r="E59" s="35"/>
      <c r="F59" s="35"/>
      <c r="G59" s="35"/>
      <c r="H59" s="35"/>
      <c r="I59" s="35"/>
      <c r="J59" s="36"/>
      <c r="K59" s="36"/>
      <c r="L59" s="36"/>
      <c r="M59" s="35"/>
      <c r="N59" s="35"/>
    </row>
    <row r="60" spans="1:14" ht="13.5">
      <c r="A60" s="34"/>
      <c r="B60" s="35" t="s">
        <v>70</v>
      </c>
      <c r="C60" s="35"/>
      <c r="D60" s="35"/>
      <c r="E60" s="35"/>
      <c r="F60" s="35"/>
      <c r="G60" s="35"/>
      <c r="H60" s="35"/>
      <c r="I60" s="35"/>
      <c r="J60" s="36"/>
      <c r="K60" s="36"/>
      <c r="L60" s="36"/>
      <c r="M60" s="35"/>
      <c r="N60" s="35"/>
    </row>
    <row r="61" spans="1:14" ht="13.5">
      <c r="A61" s="34"/>
      <c r="B61" s="35"/>
      <c r="C61" s="35" t="s">
        <v>75</v>
      </c>
      <c r="D61" s="35"/>
      <c r="E61" s="35"/>
      <c r="F61" s="35"/>
      <c r="G61" s="35"/>
      <c r="H61" s="35"/>
      <c r="I61" s="35"/>
      <c r="J61" s="36"/>
      <c r="K61" s="36"/>
      <c r="L61" s="36"/>
      <c r="M61" s="35"/>
      <c r="N61" s="35"/>
    </row>
    <row r="62" spans="1:14" ht="13.5">
      <c r="A62" s="34"/>
      <c r="B62" s="35"/>
      <c r="C62" s="35" t="s">
        <v>76</v>
      </c>
      <c r="D62" s="35"/>
      <c r="E62" s="35"/>
      <c r="F62" s="35"/>
      <c r="G62" s="35"/>
      <c r="H62" s="35"/>
      <c r="I62" s="35"/>
      <c r="J62" s="36"/>
      <c r="K62" s="36"/>
      <c r="L62" s="36"/>
      <c r="M62" s="35"/>
      <c r="N62" s="35"/>
    </row>
    <row r="63" spans="1:14" ht="13.5">
      <c r="A63" s="34"/>
      <c r="B63" s="35"/>
      <c r="C63" s="35" t="s">
        <v>77</v>
      </c>
      <c r="D63" s="35"/>
      <c r="E63" s="35"/>
      <c r="F63" s="35"/>
      <c r="G63" s="35"/>
      <c r="H63" s="35"/>
      <c r="I63" s="35"/>
      <c r="J63" s="36"/>
      <c r="K63" s="36"/>
      <c r="L63" s="36"/>
      <c r="M63" s="35"/>
      <c r="N63" s="35"/>
    </row>
    <row r="64" spans="1:14" ht="13.5">
      <c r="A64" s="34">
        <v>4</v>
      </c>
      <c r="B64" s="35" t="s">
        <v>119</v>
      </c>
      <c r="C64" s="35"/>
      <c r="D64" s="35"/>
      <c r="E64" s="35"/>
      <c r="F64" s="35"/>
      <c r="G64" s="35"/>
      <c r="H64" s="35"/>
      <c r="I64" s="35"/>
      <c r="J64" s="36"/>
      <c r="K64" s="36"/>
      <c r="L64" s="36"/>
      <c r="M64" s="35"/>
      <c r="N64" s="35"/>
    </row>
    <row r="65" spans="1:14" ht="13.5">
      <c r="A65" s="34">
        <v>5</v>
      </c>
      <c r="B65" s="35" t="s">
        <v>29</v>
      </c>
      <c r="C65" s="35"/>
      <c r="D65" s="35"/>
      <c r="E65" s="35"/>
      <c r="F65" s="35"/>
      <c r="G65" s="35"/>
      <c r="H65" s="35"/>
      <c r="I65" s="35"/>
      <c r="J65" s="36"/>
      <c r="K65" s="36"/>
      <c r="L65" s="36"/>
      <c r="M65" s="35"/>
      <c r="N65" s="35"/>
    </row>
    <row r="66" spans="1:14" ht="13.5">
      <c r="A66" s="34"/>
      <c r="B66" s="35"/>
      <c r="C66" s="35" t="s">
        <v>82</v>
      </c>
      <c r="D66" s="35"/>
      <c r="E66" s="35"/>
      <c r="F66" s="35"/>
      <c r="G66" s="35"/>
      <c r="H66" s="35"/>
      <c r="I66" s="35"/>
      <c r="J66" s="36"/>
      <c r="K66" s="36"/>
      <c r="L66" s="36"/>
      <c r="M66" s="35"/>
      <c r="N66" s="35"/>
    </row>
    <row r="67" spans="1:14" ht="13.5">
      <c r="A67" s="34"/>
      <c r="B67" s="35"/>
      <c r="C67" s="35" t="s">
        <v>30</v>
      </c>
      <c r="D67" s="35"/>
      <c r="E67" s="35"/>
      <c r="F67" s="35"/>
      <c r="G67" s="35"/>
      <c r="H67" s="35"/>
      <c r="I67" s="35"/>
      <c r="J67" s="36"/>
      <c r="K67" s="36"/>
      <c r="L67" s="36"/>
      <c r="M67" s="35"/>
      <c r="N67" s="35"/>
    </row>
    <row r="68" spans="1:14" ht="13.5">
      <c r="A68" s="34">
        <v>6</v>
      </c>
      <c r="B68" s="35" t="s">
        <v>111</v>
      </c>
      <c r="C68" s="35"/>
      <c r="D68" s="35"/>
      <c r="E68" s="35"/>
      <c r="F68" s="35"/>
      <c r="G68" s="35"/>
      <c r="H68" s="35"/>
      <c r="I68" s="35"/>
      <c r="J68" s="36"/>
      <c r="K68" s="36"/>
      <c r="L68" s="36"/>
      <c r="M68" s="35"/>
      <c r="N68" s="35"/>
    </row>
    <row r="69" spans="1:14" ht="13.5">
      <c r="A69" s="34"/>
      <c r="B69" s="35"/>
      <c r="C69" s="35" t="s">
        <v>31</v>
      </c>
      <c r="D69" s="35"/>
      <c r="E69" s="35"/>
      <c r="F69" s="35"/>
      <c r="G69" s="35"/>
      <c r="H69" s="35"/>
      <c r="I69" s="35"/>
      <c r="J69" s="36"/>
      <c r="K69" s="36"/>
      <c r="L69" s="36"/>
      <c r="M69" s="35"/>
      <c r="N69" s="35"/>
    </row>
    <row r="70" spans="1:14" ht="13.5">
      <c r="A70" s="34"/>
      <c r="B70" s="35"/>
      <c r="C70" s="35" t="s">
        <v>32</v>
      </c>
      <c r="D70" s="35"/>
      <c r="E70" s="35"/>
      <c r="F70" s="35"/>
      <c r="G70" s="35"/>
      <c r="H70" s="35"/>
      <c r="I70" s="35"/>
      <c r="J70" s="36"/>
      <c r="K70" s="36"/>
      <c r="L70" s="36"/>
      <c r="M70" s="35"/>
      <c r="N70" s="35"/>
    </row>
    <row r="71" spans="1:14" ht="13.5">
      <c r="A71" s="34"/>
      <c r="B71" s="35"/>
      <c r="C71" s="35" t="s">
        <v>33</v>
      </c>
      <c r="D71" s="35"/>
      <c r="E71" s="35"/>
      <c r="F71" s="35"/>
      <c r="G71" s="35"/>
      <c r="H71" s="35"/>
      <c r="I71" s="35"/>
      <c r="J71" s="36"/>
      <c r="K71" s="36"/>
      <c r="L71" s="36"/>
      <c r="M71" s="35"/>
      <c r="N71" s="35"/>
    </row>
    <row r="72" spans="1:14" ht="13.5">
      <c r="A72" s="34">
        <v>7</v>
      </c>
      <c r="B72" s="35" t="s">
        <v>110</v>
      </c>
      <c r="C72" s="35"/>
      <c r="D72" s="35"/>
      <c r="E72" s="35"/>
      <c r="F72" s="35"/>
      <c r="G72" s="35"/>
      <c r="H72" s="35"/>
      <c r="I72" s="35"/>
      <c r="J72" s="36"/>
      <c r="K72" s="36"/>
      <c r="L72" s="36"/>
      <c r="M72" s="35"/>
      <c r="N72" s="35"/>
    </row>
    <row r="73" spans="1:14" ht="13.5">
      <c r="A73" s="34">
        <v>8</v>
      </c>
      <c r="B73" s="35" t="s">
        <v>34</v>
      </c>
      <c r="C73" s="35"/>
      <c r="D73" s="35"/>
      <c r="E73" s="35"/>
      <c r="F73" s="35"/>
      <c r="G73" s="35"/>
      <c r="H73" s="35"/>
      <c r="I73" s="35"/>
      <c r="J73" s="36"/>
      <c r="K73" s="36"/>
      <c r="L73" s="36"/>
      <c r="M73" s="35"/>
      <c r="N73" s="35"/>
    </row>
    <row r="74" spans="1:14" ht="13.5">
      <c r="A74" s="34">
        <v>9</v>
      </c>
      <c r="B74" s="35" t="s">
        <v>91</v>
      </c>
      <c r="C74" s="35"/>
      <c r="D74" s="35"/>
      <c r="E74" s="35"/>
      <c r="F74" s="35"/>
      <c r="G74" s="35"/>
      <c r="H74" s="35"/>
      <c r="I74" s="35"/>
      <c r="J74" s="36"/>
      <c r="K74" s="36"/>
      <c r="L74" s="36"/>
      <c r="M74" s="35"/>
      <c r="N74" s="35"/>
    </row>
    <row r="75" spans="1:14" ht="13.5">
      <c r="A75" s="34">
        <v>10</v>
      </c>
      <c r="B75" s="35" t="s">
        <v>92</v>
      </c>
      <c r="C75" s="35"/>
      <c r="D75" s="35"/>
      <c r="E75" s="35"/>
      <c r="F75" s="35"/>
      <c r="G75" s="35"/>
      <c r="H75" s="35"/>
      <c r="I75" s="35"/>
      <c r="J75" s="36"/>
      <c r="K75" s="36"/>
      <c r="L75" s="36"/>
      <c r="M75" s="35"/>
      <c r="N75" s="35"/>
    </row>
    <row r="76" spans="1:14" ht="13.5">
      <c r="A76" s="34">
        <v>11</v>
      </c>
      <c r="B76" s="35" t="s">
        <v>90</v>
      </c>
      <c r="C76" s="35"/>
      <c r="D76" s="35"/>
      <c r="E76" s="35"/>
      <c r="F76" s="35"/>
      <c r="G76" s="35"/>
      <c r="H76" s="35"/>
      <c r="I76" s="35"/>
      <c r="J76" s="36"/>
      <c r="K76" s="36"/>
      <c r="L76" s="36"/>
      <c r="M76" s="35"/>
      <c r="N76" s="35"/>
    </row>
    <row r="77" spans="1:14" ht="13.5">
      <c r="A77" s="34">
        <v>12</v>
      </c>
      <c r="B77" s="35" t="s">
        <v>35</v>
      </c>
      <c r="C77" s="35"/>
      <c r="D77" s="35"/>
      <c r="E77" s="35"/>
      <c r="F77" s="35"/>
      <c r="G77" s="35"/>
      <c r="H77" s="35"/>
      <c r="I77" s="35"/>
      <c r="J77" s="36"/>
      <c r="K77" s="36"/>
      <c r="L77" s="36"/>
      <c r="M77" s="35"/>
      <c r="N77" s="35"/>
    </row>
    <row r="78" spans="1:14" ht="13.5">
      <c r="A78" s="34"/>
      <c r="B78" s="35"/>
      <c r="C78" s="35" t="s">
        <v>36</v>
      </c>
      <c r="D78" s="35"/>
      <c r="E78" s="35"/>
      <c r="F78" s="35"/>
      <c r="G78" s="35"/>
      <c r="H78" s="35"/>
      <c r="I78" s="35"/>
      <c r="J78" s="36"/>
      <c r="K78" s="36"/>
      <c r="L78" s="36"/>
      <c r="M78" s="35"/>
      <c r="N78" s="35"/>
    </row>
    <row r="79" spans="1:14" ht="13.5">
      <c r="A79" s="34">
        <v>13</v>
      </c>
      <c r="B79" s="35" t="s">
        <v>93</v>
      </c>
      <c r="C79" s="35"/>
      <c r="D79" s="35"/>
      <c r="E79" s="35"/>
      <c r="F79" s="35"/>
      <c r="G79" s="35"/>
      <c r="H79" s="35"/>
      <c r="I79" s="35"/>
      <c r="J79" s="36"/>
      <c r="K79" s="36"/>
      <c r="L79" s="36"/>
      <c r="M79" s="35"/>
      <c r="N79" s="35"/>
    </row>
    <row r="80" spans="1:14" ht="13.5">
      <c r="A80" s="34">
        <v>14</v>
      </c>
      <c r="B80" s="35" t="s">
        <v>37</v>
      </c>
      <c r="C80" s="35"/>
      <c r="D80" s="35"/>
      <c r="E80" s="35"/>
      <c r="F80" s="35"/>
      <c r="G80" s="35"/>
      <c r="H80" s="35"/>
      <c r="I80" s="35"/>
      <c r="J80" s="36"/>
      <c r="K80" s="36"/>
      <c r="L80" s="36"/>
      <c r="M80" s="35"/>
      <c r="N80" s="35"/>
    </row>
    <row r="81" spans="1:14" ht="13.5">
      <c r="A81" s="34"/>
      <c r="B81" s="35"/>
      <c r="C81" s="35" t="s">
        <v>38</v>
      </c>
      <c r="D81" s="35"/>
      <c r="E81" s="35"/>
      <c r="F81" s="35"/>
      <c r="G81" s="35"/>
      <c r="H81" s="35"/>
      <c r="I81" s="35"/>
      <c r="J81" s="36"/>
      <c r="K81" s="36"/>
      <c r="L81" s="36"/>
      <c r="M81" s="35"/>
      <c r="N81" s="35"/>
    </row>
    <row r="82" spans="1:14" ht="12.75">
      <c r="A82" s="75" t="s">
        <v>39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35"/>
      <c r="N82" s="35"/>
    </row>
    <row r="83" spans="1:14" ht="12.75">
      <c r="A83" s="35"/>
      <c r="B83" s="35"/>
      <c r="C83" s="35"/>
      <c r="D83" s="35"/>
      <c r="E83" s="35"/>
      <c r="F83" s="35"/>
      <c r="G83" s="35"/>
      <c r="H83" s="35"/>
      <c r="I83" s="35"/>
      <c r="J83" s="36"/>
      <c r="K83" s="36"/>
      <c r="L83" s="36"/>
      <c r="M83" s="35"/>
      <c r="N83" s="35"/>
    </row>
    <row r="84" spans="1:14" ht="25.5" customHeight="1">
      <c r="A84" s="35"/>
      <c r="B84" s="35"/>
      <c r="C84" s="35"/>
      <c r="D84" s="35"/>
      <c r="E84" s="37" t="s">
        <v>40</v>
      </c>
      <c r="F84" s="37" t="s">
        <v>112</v>
      </c>
      <c r="G84" s="37" t="s">
        <v>113</v>
      </c>
      <c r="H84" s="65" t="s">
        <v>114</v>
      </c>
      <c r="I84" s="37" t="s">
        <v>41</v>
      </c>
      <c r="J84" s="37" t="s">
        <v>42</v>
      </c>
      <c r="K84" s="66"/>
      <c r="L84" s="37" t="s">
        <v>43</v>
      </c>
      <c r="M84" s="36"/>
      <c r="N84" s="35"/>
    </row>
    <row r="85" spans="1:14" ht="12.75">
      <c r="A85" s="35"/>
      <c r="B85" s="35" t="s">
        <v>44</v>
      </c>
      <c r="C85" s="35"/>
      <c r="D85" s="35"/>
      <c r="E85" s="38">
        <v>2</v>
      </c>
      <c r="F85" s="39">
        <v>14400</v>
      </c>
      <c r="G85" s="67">
        <v>3000</v>
      </c>
      <c r="H85" s="68">
        <f>(F85/G85)*E85*0.15</f>
        <v>1.44</v>
      </c>
      <c r="I85" s="40">
        <v>25.61</v>
      </c>
      <c r="J85" s="41">
        <v>0.2</v>
      </c>
      <c r="L85" s="41">
        <v>0.52</v>
      </c>
      <c r="M85" s="36"/>
      <c r="N85" s="35"/>
    </row>
    <row r="86" spans="1:16" ht="12.75">
      <c r="A86" s="35"/>
      <c r="B86" s="35" t="s">
        <v>61</v>
      </c>
      <c r="C86" s="35"/>
      <c r="D86" s="35"/>
      <c r="E86" s="38">
        <v>1</v>
      </c>
      <c r="F86" s="39">
        <v>35900</v>
      </c>
      <c r="G86" s="67">
        <v>750</v>
      </c>
      <c r="H86" s="68">
        <f aca="true" t="shared" si="0" ref="H86:H93">(F86/G86)*E86*0.15</f>
        <v>7.18</v>
      </c>
      <c r="I86" s="40">
        <v>8.48</v>
      </c>
      <c r="J86" s="41">
        <v>0.81</v>
      </c>
      <c r="L86" s="41">
        <v>1.44</v>
      </c>
      <c r="M86" s="36"/>
      <c r="N86" s="35"/>
      <c r="O86" s="31"/>
      <c r="P86" s="31"/>
    </row>
    <row r="87" spans="1:16" ht="12.75">
      <c r="A87" s="35"/>
      <c r="B87" s="35" t="s">
        <v>62</v>
      </c>
      <c r="C87" s="35"/>
      <c r="D87" s="35"/>
      <c r="E87" s="38">
        <v>1</v>
      </c>
      <c r="F87" s="39">
        <v>159800</v>
      </c>
      <c r="G87" s="67">
        <v>1500</v>
      </c>
      <c r="H87" s="68">
        <f t="shared" si="0"/>
        <v>15.979999999999999</v>
      </c>
      <c r="I87" s="42"/>
      <c r="J87" s="41"/>
      <c r="L87" s="43">
        <v>5.23</v>
      </c>
      <c r="M87" s="36"/>
      <c r="N87" s="35"/>
      <c r="O87" s="31"/>
      <c r="P87" s="31"/>
    </row>
    <row r="88" spans="1:16" ht="12.75">
      <c r="A88" s="35"/>
      <c r="B88" s="35"/>
      <c r="C88" s="35" t="s">
        <v>63</v>
      </c>
      <c r="D88" s="35"/>
      <c r="E88" s="38">
        <v>1</v>
      </c>
      <c r="F88" s="39">
        <v>14300</v>
      </c>
      <c r="G88" s="67">
        <v>750</v>
      </c>
      <c r="H88" s="68">
        <f t="shared" si="0"/>
        <v>2.86</v>
      </c>
      <c r="I88" s="42">
        <v>6.79</v>
      </c>
      <c r="J88" s="41">
        <v>1.31</v>
      </c>
      <c r="L88" s="43">
        <v>0.25</v>
      </c>
      <c r="M88" s="36"/>
      <c r="N88" s="35"/>
      <c r="O88" s="31"/>
      <c r="P88" s="31"/>
    </row>
    <row r="89" spans="1:16" ht="12.75">
      <c r="A89" s="35"/>
      <c r="B89" s="35" t="s">
        <v>103</v>
      </c>
      <c r="C89" s="35"/>
      <c r="D89" s="35"/>
      <c r="E89" s="38">
        <v>1</v>
      </c>
      <c r="F89" s="44">
        <v>25000</v>
      </c>
      <c r="G89" s="67">
        <v>1500</v>
      </c>
      <c r="H89" s="68">
        <f t="shared" si="0"/>
        <v>2.5</v>
      </c>
      <c r="I89" s="42"/>
      <c r="J89" s="41" t="s">
        <v>105</v>
      </c>
      <c r="L89" s="43">
        <v>1.67</v>
      </c>
      <c r="M89" s="36"/>
      <c r="N89" s="35"/>
      <c r="O89" s="31"/>
      <c r="P89" s="31"/>
    </row>
    <row r="90" spans="1:16" ht="12.75">
      <c r="A90" s="35"/>
      <c r="B90" s="35" t="s">
        <v>45</v>
      </c>
      <c r="C90" s="35"/>
      <c r="D90" s="35"/>
      <c r="E90" s="38">
        <v>1</v>
      </c>
      <c r="F90" s="39">
        <v>10400</v>
      </c>
      <c r="G90" s="67">
        <v>1500</v>
      </c>
      <c r="H90" s="68">
        <f t="shared" si="0"/>
        <v>1.04</v>
      </c>
      <c r="I90" s="41">
        <v>23.8</v>
      </c>
      <c r="J90" s="41">
        <v>0.11</v>
      </c>
      <c r="L90" s="45">
        <v>0.23</v>
      </c>
      <c r="M90" s="36"/>
      <c r="N90" s="35"/>
      <c r="O90" s="31"/>
      <c r="P90" s="31"/>
    </row>
    <row r="91" spans="1:16" ht="12.75">
      <c r="A91" s="35"/>
      <c r="B91" s="35" t="s">
        <v>64</v>
      </c>
      <c r="C91" s="35"/>
      <c r="D91" s="35"/>
      <c r="E91" s="38">
        <v>1</v>
      </c>
      <c r="F91" s="44">
        <v>94000</v>
      </c>
      <c r="G91" s="69">
        <v>1500</v>
      </c>
      <c r="H91" s="68">
        <f>(F91/G91)*E91*0.075</f>
        <v>4.699999999999999</v>
      </c>
      <c r="I91" s="40"/>
      <c r="J91" s="38"/>
      <c r="L91" s="43"/>
      <c r="M91" s="36"/>
      <c r="N91" s="35"/>
      <c r="O91" s="31"/>
      <c r="P91" s="31"/>
    </row>
    <row r="92" spans="1:16" ht="12.75">
      <c r="A92" s="35"/>
      <c r="B92" s="35" t="s">
        <v>65</v>
      </c>
      <c r="C92" s="35"/>
      <c r="D92" s="35"/>
      <c r="E92" s="38">
        <v>2</v>
      </c>
      <c r="F92" s="44">
        <v>31400</v>
      </c>
      <c r="G92" s="69">
        <v>3000</v>
      </c>
      <c r="H92" s="68">
        <f>(F92/G92)*E92*0.075</f>
        <v>1.57</v>
      </c>
      <c r="I92" s="38"/>
      <c r="J92" s="38"/>
      <c r="L92" s="43"/>
      <c r="M92" s="36"/>
      <c r="N92" s="35"/>
      <c r="O92" s="31"/>
      <c r="P92" s="31"/>
    </row>
    <row r="93" spans="1:16" ht="12.75">
      <c r="A93" s="35"/>
      <c r="B93" s="35" t="s">
        <v>104</v>
      </c>
      <c r="C93" s="35"/>
      <c r="D93" s="35"/>
      <c r="E93" s="70">
        <v>1</v>
      </c>
      <c r="F93" s="46">
        <v>15000</v>
      </c>
      <c r="G93" s="71">
        <v>1500</v>
      </c>
      <c r="H93" s="72">
        <f t="shared" si="0"/>
        <v>1.5</v>
      </c>
      <c r="I93" s="47"/>
      <c r="J93" s="48">
        <v>0.1</v>
      </c>
      <c r="K93" s="66"/>
      <c r="L93" s="49">
        <v>0.05</v>
      </c>
      <c r="M93" s="36"/>
      <c r="N93" s="35"/>
      <c r="O93" s="1"/>
      <c r="P93" s="31"/>
    </row>
    <row r="94" spans="1:15" ht="12.75">
      <c r="A94" s="35"/>
      <c r="B94" s="35"/>
      <c r="C94" s="35"/>
      <c r="D94" s="35"/>
      <c r="E94" s="50"/>
      <c r="F94" s="39"/>
      <c r="G94" s="38"/>
      <c r="I94" s="51" t="s">
        <v>98</v>
      </c>
      <c r="J94" s="52">
        <f>SUM(J85:J93)*L98</f>
        <v>4.6805</v>
      </c>
      <c r="L94" s="43"/>
      <c r="M94" s="36"/>
      <c r="N94" s="35"/>
      <c r="O94" s="3"/>
    </row>
    <row r="95" spans="1:14" ht="12.75">
      <c r="A95" s="35"/>
      <c r="B95" s="53" t="s">
        <v>115</v>
      </c>
      <c r="C95" s="53"/>
      <c r="D95" s="53"/>
      <c r="E95" s="53"/>
      <c r="F95" s="54"/>
      <c r="G95" s="54"/>
      <c r="H95" s="73">
        <f>SUM(H85:H93)</f>
        <v>38.769999999999996</v>
      </c>
      <c r="I95" s="51" t="s">
        <v>99</v>
      </c>
      <c r="J95" s="52">
        <f>(J94*0.1)+J94</f>
        <v>5.14855</v>
      </c>
      <c r="K95" s="74" t="s">
        <v>116</v>
      </c>
      <c r="L95" s="52">
        <f>SUM(L85:L93)</f>
        <v>9.39</v>
      </c>
      <c r="M95" s="36"/>
      <c r="N95" s="35"/>
    </row>
    <row r="96" spans="1:14" ht="12.75">
      <c r="A96" s="35"/>
      <c r="B96" s="53"/>
      <c r="C96" s="35"/>
      <c r="D96" s="35"/>
      <c r="E96" s="35"/>
      <c r="F96" s="55"/>
      <c r="G96" s="56"/>
      <c r="H96" s="53"/>
      <c r="I96" s="57"/>
      <c r="J96" s="57"/>
      <c r="K96" s="36"/>
      <c r="L96" s="36"/>
      <c r="M96" s="36"/>
      <c r="N96" s="35"/>
    </row>
    <row r="97" spans="1:14" ht="12.75">
      <c r="A97" s="35"/>
      <c r="B97" s="35"/>
      <c r="C97" s="35"/>
      <c r="D97" s="35"/>
      <c r="E97" s="35"/>
      <c r="F97" s="58"/>
      <c r="G97" s="58"/>
      <c r="H97" s="53"/>
      <c r="I97" s="57"/>
      <c r="J97" s="57"/>
      <c r="K97" s="36"/>
      <c r="L97" s="36"/>
      <c r="M97" s="36"/>
      <c r="N97" s="35"/>
    </row>
    <row r="98" spans="1:14" ht="12.75">
      <c r="A98" s="35"/>
      <c r="B98" s="53"/>
      <c r="C98" s="53"/>
      <c r="D98" s="53"/>
      <c r="E98" s="53"/>
      <c r="F98" s="59"/>
      <c r="G98" s="56"/>
      <c r="H98" s="53"/>
      <c r="I98" s="60" t="s">
        <v>46</v>
      </c>
      <c r="J98" s="57"/>
      <c r="K98" s="57"/>
      <c r="L98" s="61">
        <v>1.85</v>
      </c>
      <c r="M98" s="36" t="s">
        <v>47</v>
      </c>
      <c r="N98" s="35"/>
    </row>
    <row r="99" spans="1:14" ht="12.75">
      <c r="A99" s="35" t="s">
        <v>100</v>
      </c>
      <c r="B99" s="35"/>
      <c r="C99" s="35"/>
      <c r="D99" s="35"/>
      <c r="E99" s="35"/>
      <c r="F99" s="35"/>
      <c r="G99" s="35"/>
      <c r="H99" s="53"/>
      <c r="I99" s="60"/>
      <c r="J99" s="57"/>
      <c r="K99" s="57"/>
      <c r="L99" s="61"/>
      <c r="M99" s="36"/>
      <c r="N99" s="35"/>
    </row>
    <row r="100" spans="1:14" ht="12.75">
      <c r="A100" s="35" t="s">
        <v>101</v>
      </c>
      <c r="B100" s="35"/>
      <c r="C100" s="35"/>
      <c r="D100" s="35"/>
      <c r="E100" s="62"/>
      <c r="F100" s="62"/>
      <c r="G100" s="62"/>
      <c r="H100" s="53"/>
      <c r="I100" s="57"/>
      <c r="J100" s="57"/>
      <c r="K100" s="57"/>
      <c r="L100" s="36"/>
      <c r="M100" s="36"/>
      <c r="N100" s="35"/>
    </row>
    <row r="101" spans="1:14" ht="12.75">
      <c r="A101" s="63" t="s">
        <v>102</v>
      </c>
      <c r="B101" s="35"/>
      <c r="C101" s="35"/>
      <c r="D101" s="35"/>
      <c r="E101" s="35"/>
      <c r="F101" s="64"/>
      <c r="G101" s="56"/>
      <c r="H101" s="35"/>
      <c r="I101" s="36"/>
      <c r="J101" s="36"/>
      <c r="K101" s="36"/>
      <c r="L101" s="36"/>
      <c r="M101" s="36"/>
      <c r="N101" s="35"/>
    </row>
    <row r="102" spans="1:14" ht="12.75">
      <c r="A102" s="35" t="s">
        <v>48</v>
      </c>
      <c r="B102" s="35"/>
      <c r="C102" s="35"/>
      <c r="D102" s="35"/>
      <c r="E102" s="35"/>
      <c r="F102" s="35"/>
      <c r="G102" s="35"/>
      <c r="H102" s="35"/>
      <c r="I102" s="35"/>
      <c r="J102" s="36"/>
      <c r="K102" s="36"/>
      <c r="L102" s="36"/>
      <c r="M102" s="36"/>
      <c r="N102" s="35"/>
    </row>
    <row r="103" spans="1:14" ht="12.75">
      <c r="A103" s="35"/>
      <c r="B103" s="35" t="s">
        <v>49</v>
      </c>
      <c r="C103" s="35"/>
      <c r="D103" s="35"/>
      <c r="E103" s="35"/>
      <c r="F103" s="35"/>
      <c r="G103" s="35"/>
      <c r="H103" s="35"/>
      <c r="I103" s="35"/>
      <c r="J103" s="36"/>
      <c r="K103" s="36"/>
      <c r="L103" s="36"/>
      <c r="M103" s="36"/>
      <c r="N103" s="35"/>
    </row>
    <row r="104" spans="1:14" ht="12.75">
      <c r="A104" s="35"/>
      <c r="B104" s="35" t="s">
        <v>50</v>
      </c>
      <c r="C104" s="35"/>
      <c r="D104" s="35"/>
      <c r="E104" s="35"/>
      <c r="F104" s="35"/>
      <c r="G104" s="35"/>
      <c r="H104" s="35"/>
      <c r="I104" s="35"/>
      <c r="J104" s="36"/>
      <c r="K104" s="36"/>
      <c r="L104" s="36"/>
      <c r="M104" s="36"/>
      <c r="N104" s="35"/>
    </row>
    <row r="105" spans="1:14" ht="12.75">
      <c r="A105" s="35" t="s">
        <v>51</v>
      </c>
      <c r="B105" s="35"/>
      <c r="C105" s="35"/>
      <c r="D105" s="35"/>
      <c r="E105" s="35"/>
      <c r="F105" s="35"/>
      <c r="G105" s="35"/>
      <c r="H105" s="35"/>
      <c r="I105" s="35"/>
      <c r="J105" s="36"/>
      <c r="K105" s="36"/>
      <c r="L105" s="36"/>
      <c r="M105" s="36"/>
      <c r="N105" s="35"/>
    </row>
    <row r="106" spans="1:14" ht="12.75">
      <c r="A106" s="35"/>
      <c r="B106" s="35"/>
      <c r="C106" s="35"/>
      <c r="D106" s="35"/>
      <c r="E106" s="35"/>
      <c r="F106" s="35"/>
      <c r="G106" s="35"/>
      <c r="H106" s="35"/>
      <c r="I106" s="35"/>
      <c r="J106" s="36"/>
      <c r="K106" s="36"/>
      <c r="L106" s="36"/>
      <c r="M106" s="36"/>
      <c r="N106" s="35"/>
    </row>
    <row r="107" spans="1:14" ht="12.75">
      <c r="A107" s="35" t="s">
        <v>52</v>
      </c>
      <c r="B107" s="35"/>
      <c r="C107" s="35"/>
      <c r="D107" s="35"/>
      <c r="E107" s="35"/>
      <c r="F107" s="35"/>
      <c r="G107" s="35"/>
      <c r="H107" s="35"/>
      <c r="I107" s="35"/>
      <c r="J107" s="36"/>
      <c r="K107" s="36"/>
      <c r="L107" s="36"/>
      <c r="M107" s="36"/>
      <c r="N107" s="35"/>
    </row>
    <row r="108" spans="1:14" ht="12.75">
      <c r="A108" s="35" t="s">
        <v>106</v>
      </c>
      <c r="B108" s="35"/>
      <c r="C108" s="35"/>
      <c r="D108" s="35"/>
      <c r="E108" s="35"/>
      <c r="F108" s="35"/>
      <c r="G108" s="35"/>
      <c r="H108" s="35"/>
      <c r="I108" s="35"/>
      <c r="J108" s="36"/>
      <c r="K108" s="36"/>
      <c r="L108" s="36"/>
      <c r="M108" s="36"/>
      <c r="N108" s="35"/>
    </row>
    <row r="109" spans="1:14" ht="12.75">
      <c r="A109" s="35" t="s">
        <v>107</v>
      </c>
      <c r="B109" s="35"/>
      <c r="C109" s="35"/>
      <c r="D109" s="35"/>
      <c r="E109" s="35"/>
      <c r="F109" s="35"/>
      <c r="G109" s="35"/>
      <c r="H109" s="35"/>
      <c r="I109" s="35"/>
      <c r="J109" s="36"/>
      <c r="K109" s="36"/>
      <c r="L109" s="36"/>
      <c r="M109" s="35"/>
      <c r="N109" s="35"/>
    </row>
  </sheetData>
  <mergeCells count="7">
    <mergeCell ref="A82:L82"/>
    <mergeCell ref="D2:L2"/>
    <mergeCell ref="D3:L3"/>
    <mergeCell ref="H6:I6"/>
    <mergeCell ref="H7:I7"/>
    <mergeCell ref="J6:L6"/>
    <mergeCell ref="E6:G6"/>
  </mergeCells>
  <printOptions horizontalCentered="1"/>
  <pageMargins left="0.5" right="0.5" top="0.5" bottom="0.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2005-07-11T20:44:50Z</cp:lastPrinted>
  <dcterms:created xsi:type="dcterms:W3CDTF">2002-12-27T15:58:24Z</dcterms:created>
  <dcterms:modified xsi:type="dcterms:W3CDTF">2005-11-29T14:23:49Z</dcterms:modified>
  <cp:category/>
  <cp:version/>
  <cp:contentType/>
  <cp:contentStatus/>
</cp:coreProperties>
</file>