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alfhay" sheetId="1" r:id="rId1"/>
    <sheet name="Machinery Costs" sheetId="2" r:id="rId2"/>
  </sheets>
  <definedNames>
    <definedName name="_xlnm.Print_Area" localSheetId="0">'alfhay'!$A$1:$P$131</definedName>
  </definedNames>
  <calcPr fullCalcOnLoad="1"/>
</workbook>
</file>

<file path=xl/sharedStrings.xml><?xml version="1.0" encoding="utf-8"?>
<sst xmlns="http://schemas.openxmlformats.org/spreadsheetml/2006/main" count="155" uniqueCount="139">
  <si>
    <t>ITEM</t>
  </si>
  <si>
    <t>EXPLANATION</t>
  </si>
  <si>
    <t>PRICE PER</t>
  </si>
  <si>
    <t>YOUR</t>
  </si>
  <si>
    <t>UNIT</t>
  </si>
  <si>
    <t>BUDGET</t>
  </si>
  <si>
    <t>Alfalfa Hay - High Quality</t>
  </si>
  <si>
    <t>of yield</t>
  </si>
  <si>
    <t>/ton</t>
  </si>
  <si>
    <t>Alfalfa Hay - Lower Quality</t>
  </si>
  <si>
    <t>Total Alfalfa Receipts</t>
  </si>
  <si>
    <t>VARIABLE  COSTS</t>
  </si>
  <si>
    <t xml:space="preserve"> pounds</t>
  </si>
  <si>
    <t>/lb</t>
  </si>
  <si>
    <t>Lime(ton)</t>
  </si>
  <si>
    <t>mo</t>
  </si>
  <si>
    <t>TOTAL VARIABLE COSTS</t>
  </si>
  <si>
    <t>-Per Acre</t>
  </si>
  <si>
    <t>-Per Ton</t>
  </si>
  <si>
    <t>FIXED COSTS</t>
  </si>
  <si>
    <t>hours</t>
  </si>
  <si>
    <t>/hour</t>
  </si>
  <si>
    <t>Management Charge</t>
  </si>
  <si>
    <t>of gross revenue</t>
  </si>
  <si>
    <t>TOTAL FIXED COSTS</t>
  </si>
  <si>
    <t>TOTAL COSTS</t>
  </si>
  <si>
    <t>RETURN ABOVE VARIABLE COSTS</t>
  </si>
  <si>
    <t>RETURN ABOVE TOTAL COSTS</t>
  </si>
  <si>
    <t xml:space="preserve">Based on 86% DM alfalfa hay.  Alfalfa Hay quality will often vary over the growing season.  High quality alfalfa is </t>
  </si>
  <si>
    <t xml:space="preserve">assumed to be harvested at optimum maturity and condition.  Lower quality alfalfa is assumed to be harvested </t>
  </si>
  <si>
    <t>at less than optimum maturity and/or condition. 60% of crop is assumed to be harvested at optimum conditions.</t>
  </si>
  <si>
    <t>Expenses associated with seeding are prorated over the four-year stand life.</t>
  </si>
  <si>
    <t xml:space="preserve">Annual application of maintenance fertilizer. 5-10 lb. of N. could be added at seeding. </t>
  </si>
  <si>
    <t>vary over time and by area.  Check with local sources for current prices.</t>
  </si>
  <si>
    <t>See table below for specific calculations.</t>
  </si>
  <si>
    <t>Includes twine, other supplies, utilities, soil tests, small tools, crop insurance, etc…</t>
  </si>
  <si>
    <t xml:space="preserve">Part or all of labor may be a variable cost if paid labor varies with acres farmed. It’s a fixed cost if labor costs  </t>
  </si>
  <si>
    <t>Seedbed preparation and seeding costs are charged at custom hire rates and prorated over 4 years.  The following</t>
  </si>
  <si>
    <t>Return to labor and management is the revenue less total expenses except operator labor and management.</t>
  </si>
  <si>
    <t>It is a measure of the returns to the operator's labor and management.</t>
  </si>
  <si>
    <t>Number times used</t>
  </si>
  <si>
    <t>Repairs ($/A)</t>
  </si>
  <si>
    <t>Hay Rake</t>
  </si>
  <si>
    <t>75 HP Tractor</t>
  </si>
  <si>
    <r>
      <t>YIELD (ton/A)</t>
    </r>
    <r>
      <rPr>
        <b/>
        <vertAlign val="superscript"/>
        <sz val="10"/>
        <rFont val="Arial"/>
        <family val="2"/>
      </rPr>
      <t xml:space="preserve">  2</t>
    </r>
  </si>
  <si>
    <r>
      <t xml:space="preserve">RECEIPTS </t>
    </r>
    <r>
      <rPr>
        <b/>
        <vertAlign val="superscript"/>
        <sz val="10"/>
        <rFont val="Arial"/>
        <family val="2"/>
      </rPr>
      <t>3</t>
    </r>
  </si>
  <si>
    <r>
      <t xml:space="preserve">Seed </t>
    </r>
    <r>
      <rPr>
        <vertAlign val="superscript"/>
        <sz val="10"/>
        <rFont val="Arial"/>
        <family val="2"/>
      </rPr>
      <t>4</t>
    </r>
  </si>
  <si>
    <r>
      <t xml:space="preserve">Fertilizer </t>
    </r>
    <r>
      <rPr>
        <vertAlign val="super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</si>
  <si>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</si>
  <si>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</si>
  <si>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</si>
  <si>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 xml:space="preserve">Fuel, Oil, Grease </t>
    </r>
    <r>
      <rPr>
        <vertAlign val="superscript"/>
        <sz val="10"/>
        <rFont val="Arial"/>
        <family val="2"/>
      </rPr>
      <t>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</si>
  <si>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</si>
  <si>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Miscellaneous </t>
    </r>
    <r>
      <rPr>
        <vertAlign val="superscript"/>
        <sz val="10"/>
        <rFont val="Arial"/>
        <family val="2"/>
      </rPr>
      <t>9</t>
    </r>
  </si>
  <si>
    <r>
      <t xml:space="preserve">Int. on Oper. Cap. </t>
    </r>
    <r>
      <rPr>
        <vertAlign val="superscript"/>
        <sz val="10"/>
        <rFont val="Arial"/>
        <family val="2"/>
      </rPr>
      <t>10</t>
    </r>
  </si>
  <si>
    <t>Machinery Cost</t>
  </si>
  <si>
    <t>Acres per Year</t>
  </si>
  <si>
    <t>Cost per Acre</t>
  </si>
  <si>
    <t>Acres/ Hr</t>
  </si>
  <si>
    <t>Fuel*        (gal/A)</t>
  </si>
  <si>
    <t>-----</t>
  </si>
  <si>
    <t>Pickup Truck (1/2)**</t>
  </si>
  <si>
    <t>Fuel</t>
  </si>
  <si>
    <t>Machinery and Equipment Charge per Acre</t>
  </si>
  <si>
    <t>F&amp;L</t>
  </si>
  <si>
    <t>Repairs</t>
  </si>
  <si>
    <t>Price of Diesel Fuel =</t>
  </si>
  <si>
    <t>Mower Conditioner 9 ft.</t>
  </si>
  <si>
    <t>Hay Wagons (2)</t>
  </si>
  <si>
    <t>Years 2-4</t>
  </si>
  <si>
    <r>
      <t xml:space="preserve">Spring Seeding - 4 Year Stand </t>
    </r>
    <r>
      <rPr>
        <b/>
        <vertAlign val="superscript"/>
        <sz val="12"/>
        <rFont val="Arial"/>
        <family val="2"/>
      </rPr>
      <t>1</t>
    </r>
  </si>
  <si>
    <t xml:space="preserve">Assumes a 2.5 ton yield in seeding year; yields of approximately 4, 6, or 8 tons in years 2 through 4 </t>
  </si>
  <si>
    <t>years (depending on soil productivity)</t>
  </si>
  <si>
    <t>See table below for specific calculations. Lubrication costs are assumed to be 10% of fuel costs.</t>
  </si>
  <si>
    <r>
      <t>Custom Hire</t>
    </r>
    <r>
      <rPr>
        <vertAlign val="superscript"/>
        <sz val="10"/>
        <rFont val="Arial"/>
        <family val="2"/>
      </rPr>
      <t>11</t>
    </r>
  </si>
  <si>
    <r>
      <t>Hired Labor</t>
    </r>
    <r>
      <rPr>
        <vertAlign val="superscript"/>
        <sz val="10"/>
        <rFont val="Arial"/>
        <family val="2"/>
      </rPr>
      <t xml:space="preserve"> 12</t>
    </r>
  </si>
  <si>
    <r>
      <t xml:space="preserve">Labor Charge </t>
    </r>
    <r>
      <rPr>
        <vertAlign val="superscript"/>
        <sz val="10"/>
        <rFont val="Arial"/>
        <family val="2"/>
      </rPr>
      <t>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</si>
  <si>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</si>
  <si>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r>
      <t xml:space="preserve">Seedbed Preparation/Seeding Costs - Custom Hire  </t>
    </r>
    <r>
      <rPr>
        <vertAlign val="superscript"/>
        <sz val="10"/>
        <rFont val="Arial"/>
        <family val="2"/>
      </rPr>
      <t>14</t>
    </r>
  </si>
  <si>
    <r>
      <t xml:space="preserve">Land Charge </t>
    </r>
    <r>
      <rPr>
        <vertAlign val="superscript"/>
        <sz val="10"/>
        <rFont val="Arial"/>
        <family val="2"/>
      </rPr>
      <t>15</t>
    </r>
  </si>
  <si>
    <t>Harvest Machinery and Equipment Inventory</t>
  </si>
  <si>
    <t>Seeding year: $30/acre (2 qts/a of Butyrac 200, 7 oz/a of Select, 1.6 oz/a of Baythoid)</t>
  </si>
  <si>
    <t>Year 2: $12/acre (Baythroid at 2.5 oz/a for alfalfa weevil and 1.6 oz/acre of potato leafhopper)</t>
  </si>
  <si>
    <t xml:space="preserve">Machinery and Equipment charge = </t>
  </si>
  <si>
    <t xml:space="preserve"> 6.0% Interest on Average Value, 0.5% Insurance Cost on Average Value and 1.0% Housing Cost on Average Value.</t>
  </si>
  <si>
    <t>Salvage Values are based on ASAE formulas.</t>
  </si>
  <si>
    <t xml:space="preserve">Machines are all assumed to be new and in the first year of use (Except for Semi Tractor Trailer and Pickup Truck). </t>
  </si>
  <si>
    <t>**Pickup Truck assumed to be used equipment.</t>
  </si>
  <si>
    <t>*Fuel calculations are based on the implement plus tractor./ Four cuttings assumed.</t>
  </si>
  <si>
    <r>
      <t>Year 1</t>
    </r>
    <r>
      <rPr>
        <b/>
        <vertAlign val="superscript"/>
        <sz val="10"/>
        <rFont val="Arial"/>
        <family val="2"/>
      </rPr>
      <t>2</t>
    </r>
  </si>
  <si>
    <t>Year 1 Fertilizer application rates assumed to be at the 4.0 Ton yield goal.</t>
  </si>
  <si>
    <t xml:space="preserve">Soil test values of CEC=20, P=25 ppm, K=150 ppm. Fertilizer prices </t>
  </si>
  <si>
    <t>Lime applied prior to seeding - 2 Tons prorated over the 4 year period; 0.5 ton per year.</t>
  </si>
  <si>
    <t>PROD.</t>
  </si>
  <si>
    <t>Numbers</t>
  </si>
  <si>
    <t xml:space="preserve">Authors: Barry Ward and Mark Sulc* </t>
  </si>
  <si>
    <t>*Leader, Production Business Management and Extension Forage Specialist</t>
  </si>
  <si>
    <t>Assumes MAP(11-52-0):</t>
  </si>
  <si>
    <t>Potash(0-0-60):</t>
  </si>
  <si>
    <t>Fertilizer Spreader</t>
  </si>
  <si>
    <t>Updated:</t>
  </si>
  <si>
    <t xml:space="preserve">do not change with acres farmed. </t>
  </si>
  <si>
    <t>Reflects 200 acres, conventional tillage. See table below for details.</t>
  </si>
  <si>
    <t>Hay Baler - PTO Twine 12 Ft.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</si>
  <si>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</si>
  <si>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</si>
  <si>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</si>
  <si>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These cells may be input manually, but macros will be overwritten!</t>
  </si>
  <si>
    <t>Values highlighted in gray are stand alone cells that require direct input from the user.</t>
  </si>
  <si>
    <t>RETURN TO LAND</t>
  </si>
  <si>
    <t>Average Value</t>
  </si>
  <si>
    <t>Depreciation</t>
  </si>
  <si>
    <t>Cost Cap.</t>
  </si>
  <si>
    <t>Insurance</t>
  </si>
  <si>
    <t>Housing</t>
  </si>
  <si>
    <t>Total</t>
  </si>
  <si>
    <t>Cost/Acre</t>
  </si>
  <si>
    <t>Hay Baler</t>
  </si>
  <si>
    <t>Acres/Year</t>
  </si>
  <si>
    <t>Hours / Year</t>
  </si>
  <si>
    <t>Interest charged for 6 months at 9% interest rate.</t>
  </si>
  <si>
    <r>
      <t xml:space="preserve">RETURN TO LABOR AND MANAGEMENT </t>
    </r>
    <r>
      <rPr>
        <b/>
        <vertAlign val="superscript"/>
        <sz val="10"/>
        <rFont val="Arial"/>
        <family val="2"/>
      </rPr>
      <t>15</t>
    </r>
  </si>
  <si>
    <t>Year 4: $20/acre (metribuzin at 1 lb/a and Baythroid at 1.6 oz/a for PLH).</t>
  </si>
  <si>
    <t>Year 3: $12/acre (Baythroid at 1.6 oz/a for PLH).</t>
  </si>
  <si>
    <t>Year 2-4 Avg. = $14.67</t>
  </si>
  <si>
    <t>2011 ALFALFA HAY PRODUCTION BUDGET</t>
  </si>
  <si>
    <t>Assumes production of 200 acres of Alfalfa Hay (Total Farm Size: 2000 Acres). Does not include storage costs.</t>
  </si>
  <si>
    <t>Custom hire includes: 8 Chemical Sprays Over 4 Year period @ $6.20/acre = $49.60/acre/4 years = $12.40/acre</t>
  </si>
  <si>
    <t>Land charge in year 1 assumes you are budgeting for soil productivity capabilities of 4/Ton/Acre.</t>
  </si>
  <si>
    <t>rates per acre are included: Chisel Plow $14.05, Field Cultivate-$11.10, Cultimulch-$11.40, Seeding-$14.30 = $50.85.</t>
  </si>
  <si>
    <t>$50.85 divided by 4 years = $12.71/acre</t>
  </si>
  <si>
    <t>Average based on "Ohio Cropland Values and Cash Rents" Factsheet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</si>
  <si>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</si>
  <si>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</si>
  <si>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</si>
  <si>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http://www.apec.umn.edu/Machinery_Economics2.html</t>
  </si>
  <si>
    <t>Mower/Cond. 12 ft.</t>
  </si>
  <si>
    <t>Cost per Acre = Machinery Cost (New Cost) Assumes 8 or 16 Year Useful Life using Straight Line Depreciation,</t>
  </si>
  <si>
    <t>Hay Rake - 25'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</si>
</sst>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  <numFmt numFmtId="197" formatCode="[$€-2]\ #,##0.00_);[Red]\([$€-2]\ #,##0.00\)"/>
    <numFmt numFmtId="198" formatCode="&quot;$&quot;#,##0.00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66" fontId="11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11" fillId="33" borderId="0" xfId="0" applyFont="1" applyFill="1" applyAlignment="1">
      <alignment horizontal="center"/>
    </xf>
    <xf numFmtId="2" fontId="0" fillId="0" borderId="11" xfId="0" applyNumberForma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66" fontId="11" fillId="33" borderId="10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165" fontId="0" fillId="34" borderId="0" xfId="0" applyNumberFormat="1" applyFill="1" applyAlignment="1">
      <alignment horizontal="center"/>
    </xf>
    <xf numFmtId="164" fontId="11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166" fontId="11" fillId="33" borderId="11" xfId="44" applyNumberFormat="1" applyFont="1" applyFill="1" applyBorder="1" applyAlignment="1">
      <alignment horizontal="center"/>
    </xf>
    <xf numFmtId="3" fontId="11" fillId="33" borderId="11" xfId="44" applyNumberFormat="1" applyFont="1" applyFill="1" applyBorder="1" applyAlignment="1">
      <alignment horizontal="center"/>
    </xf>
    <xf numFmtId="3" fontId="11" fillId="0" borderId="11" xfId="44" applyNumberFormat="1" applyFont="1" applyFill="1" applyBorder="1" applyAlignment="1">
      <alignment horizontal="center"/>
    </xf>
    <xf numFmtId="2" fontId="11" fillId="0" borderId="11" xfId="0" applyNumberFormat="1" applyFont="1" applyBorder="1" applyAlignment="1" quotePrefix="1">
      <alignment horizontal="center"/>
    </xf>
    <xf numFmtId="9" fontId="11" fillId="0" borderId="0" xfId="59" applyFont="1" applyAlignment="1">
      <alignment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2" fillId="0" borderId="0" xfId="42" applyNumberFormat="1" applyFont="1" applyAlignment="1">
      <alignment horizontal="center"/>
    </xf>
    <xf numFmtId="165" fontId="12" fillId="34" borderId="0" xfId="0" applyNumberFormat="1" applyFont="1" applyFill="1" applyAlignment="1">
      <alignment horizontal="center"/>
    </xf>
    <xf numFmtId="9" fontId="12" fillId="0" borderId="0" xfId="59" applyFont="1" applyAlignment="1">
      <alignment horizontal="right"/>
    </xf>
    <xf numFmtId="9" fontId="11" fillId="0" borderId="0" xfId="59" applyFont="1" applyAlignment="1">
      <alignment horizontal="right"/>
    </xf>
    <xf numFmtId="176" fontId="11" fillId="0" borderId="0" xfId="42" applyNumberFormat="1" applyFont="1" applyAlignment="1">
      <alignment/>
    </xf>
    <xf numFmtId="2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right"/>
    </xf>
    <xf numFmtId="7" fontId="12" fillId="33" borderId="0" xfId="44" applyNumberFormat="1" applyFont="1" applyFill="1" applyAlignment="1">
      <alignment/>
    </xf>
    <xf numFmtId="164" fontId="11" fillId="33" borderId="0" xfId="0" applyNumberFormat="1" applyFont="1" applyFill="1" applyAlignment="1" quotePrefix="1">
      <alignment horizontal="center"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 quotePrefix="1">
      <alignment/>
    </xf>
    <xf numFmtId="4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42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7" fontId="4" fillId="0" borderId="0" xfId="44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left"/>
    </xf>
    <xf numFmtId="164" fontId="4" fillId="33" borderId="11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4" fontId="4" fillId="34" borderId="12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 quotePrefix="1">
      <alignment/>
    </xf>
    <xf numFmtId="9" fontId="14" fillId="33" borderId="0" xfId="59" applyFont="1" applyFill="1" applyAlignment="1">
      <alignment/>
    </xf>
    <xf numFmtId="166" fontId="14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2" fontId="14" fillId="33" borderId="0" xfId="0" applyNumberFormat="1" applyFont="1" applyFill="1" applyAlignment="1">
      <alignment/>
    </xf>
    <xf numFmtId="172" fontId="14" fillId="33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0" fontId="4" fillId="0" borderId="11" xfId="0" applyFont="1" applyBorder="1" applyAlignment="1">
      <alignment horizontal="center"/>
    </xf>
    <xf numFmtId="2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 quotePrefix="1">
      <alignment/>
    </xf>
    <xf numFmtId="0" fontId="11" fillId="33" borderId="0" xfId="0" applyFont="1" applyFill="1" applyAlignment="1" quotePrefix="1">
      <alignment/>
    </xf>
    <xf numFmtId="0" fontId="0" fillId="36" borderId="0" xfId="0" applyFill="1" applyBorder="1" applyAlignment="1">
      <alignment/>
    </xf>
    <xf numFmtId="164" fontId="11" fillId="33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2" fontId="11" fillId="34" borderId="1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39" fontId="11" fillId="34" borderId="11" xfId="0" applyNumberFormat="1" applyFont="1" applyFill="1" applyBorder="1" applyAlignment="1">
      <alignment horizontal="center"/>
    </xf>
    <xf numFmtId="2" fontId="11" fillId="34" borderId="0" xfId="0" applyNumberFormat="1" applyFont="1" applyFill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center" wrapText="1"/>
    </xf>
    <xf numFmtId="165" fontId="0" fillId="34" borderId="11" xfId="0" applyNumberFormat="1" applyFill="1" applyBorder="1" applyAlignment="1">
      <alignment horizontal="center"/>
    </xf>
    <xf numFmtId="0" fontId="15" fillId="0" borderId="0" xfId="53" applyFont="1" applyAlignment="1" applyProtection="1">
      <alignment/>
      <protection/>
    </xf>
    <xf numFmtId="2" fontId="0" fillId="0" borderId="0" xfId="0" applyNumberFormat="1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419100</xdr:colOff>
      <xdr:row>4</xdr:row>
      <xdr:rowOff>66675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de.osu.edu/resources/docs/pdf/UDSIO6SG-9315-IQAW-X7QLG33KLHMNAZZ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view="pageBreakPreview" zoomScaleSheetLayoutView="100" zoomScalePageLayoutView="0" workbookViewId="0" topLeftCell="A1">
      <selection activeCell="C2" sqref="C2:N2"/>
    </sheetView>
  </sheetViews>
  <sheetFormatPr defaultColWidth="9.140625" defaultRowHeight="12.75"/>
  <cols>
    <col min="1" max="2" width="2.7109375" style="0" customWidth="1"/>
    <col min="4" max="4" width="6.57421875" style="0" customWidth="1"/>
    <col min="5" max="5" width="7.57421875" style="0" customWidth="1"/>
    <col min="6" max="6" width="8.8515625" style="0" customWidth="1"/>
    <col min="7" max="9" width="7.57421875" style="0" customWidth="1"/>
    <col min="10" max="10" width="7.28125" style="0" customWidth="1"/>
    <col min="11" max="11" width="8.140625" style="0" customWidth="1"/>
    <col min="12" max="12" width="7.28125" style="25" customWidth="1"/>
    <col min="13" max="13" width="8.421875" style="25" customWidth="1"/>
    <col min="14" max="14" width="8.28125" style="25" customWidth="1"/>
    <col min="15" max="15" width="0.85546875" style="0" customWidth="1"/>
    <col min="16" max="16" width="9.57421875" style="0" customWidth="1"/>
    <col min="17" max="17" width="9.7109375" style="0" customWidth="1"/>
    <col min="18" max="18" width="9.28125" style="0" bestFit="1" customWidth="1"/>
  </cols>
  <sheetData>
    <row r="1" spans="1:16" ht="12.75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3"/>
      <c r="M1" s="3"/>
      <c r="N1" s="3"/>
      <c r="O1" s="1"/>
      <c r="P1" s="1"/>
    </row>
    <row r="2" spans="1:16" ht="15.75">
      <c r="A2" s="1"/>
      <c r="B2" s="1"/>
      <c r="C2" s="136" t="s">
        <v>125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"/>
      <c r="P2" s="4"/>
    </row>
    <row r="3" spans="1:16" ht="18">
      <c r="A3" s="1"/>
      <c r="B3" s="1"/>
      <c r="C3" s="136" t="s">
        <v>70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"/>
      <c r="P3" s="1"/>
    </row>
    <row r="4" spans="1:16" ht="12.75">
      <c r="A4" s="1"/>
      <c r="B4" s="1"/>
      <c r="C4" s="1"/>
      <c r="D4" s="143" t="s">
        <v>95</v>
      </c>
      <c r="E4" s="144"/>
      <c r="F4" s="144"/>
      <c r="G4" s="144"/>
      <c r="H4" s="144"/>
      <c r="I4" s="144"/>
      <c r="J4" s="144"/>
      <c r="K4" s="144"/>
      <c r="L4" s="144"/>
      <c r="M4" s="103" t="s">
        <v>100</v>
      </c>
      <c r="N4" s="135"/>
      <c r="O4" s="140">
        <v>40507</v>
      </c>
      <c r="P4" s="141"/>
    </row>
    <row r="5" spans="1:16" ht="15.75" customHeight="1">
      <c r="A5" s="1"/>
      <c r="B5" s="1"/>
      <c r="C5" s="1"/>
      <c r="D5" s="146" t="s">
        <v>96</v>
      </c>
      <c r="E5" s="146"/>
      <c r="F5" s="146"/>
      <c r="G5" s="146"/>
      <c r="H5" s="146"/>
      <c r="I5" s="146"/>
      <c r="J5" s="146"/>
      <c r="K5" s="146"/>
      <c r="L5" s="146"/>
      <c r="M5" s="84"/>
      <c r="N5" s="3"/>
      <c r="O5" s="1"/>
      <c r="P5" s="1"/>
    </row>
    <row r="6" spans="1:16" ht="14.25">
      <c r="A6" s="137" t="s">
        <v>0</v>
      </c>
      <c r="B6" s="137"/>
      <c r="C6" s="137"/>
      <c r="D6" s="6"/>
      <c r="E6" s="6"/>
      <c r="F6" s="137" t="s">
        <v>1</v>
      </c>
      <c r="G6" s="137"/>
      <c r="H6" s="5" t="s">
        <v>3</v>
      </c>
      <c r="I6" s="137" t="s">
        <v>2</v>
      </c>
      <c r="J6" s="137"/>
      <c r="K6" s="5"/>
      <c r="L6" s="145" t="s">
        <v>44</v>
      </c>
      <c r="M6" s="145"/>
      <c r="N6" s="145"/>
      <c r="O6" s="7"/>
      <c r="P6" s="5" t="s">
        <v>3</v>
      </c>
    </row>
    <row r="7" spans="1:16" ht="14.25">
      <c r="A7" s="8"/>
      <c r="B7" s="8"/>
      <c r="C7" s="8"/>
      <c r="D7" s="8"/>
      <c r="E7" s="8"/>
      <c r="F7" s="8"/>
      <c r="G7" s="8"/>
      <c r="H7" s="9" t="s">
        <v>93</v>
      </c>
      <c r="I7" s="138" t="s">
        <v>4</v>
      </c>
      <c r="J7" s="138"/>
      <c r="K7" s="9" t="s">
        <v>89</v>
      </c>
      <c r="L7" s="139" t="s">
        <v>69</v>
      </c>
      <c r="M7" s="139"/>
      <c r="N7" s="139"/>
      <c r="O7" s="10"/>
      <c r="P7" s="9" t="s">
        <v>5</v>
      </c>
    </row>
    <row r="8" spans="1:16" ht="12.75">
      <c r="A8" s="11"/>
      <c r="B8" s="11"/>
      <c r="C8" s="11"/>
      <c r="D8" s="11"/>
      <c r="E8" s="11"/>
      <c r="F8" s="11"/>
      <c r="G8" s="11"/>
      <c r="H8" s="102" t="s">
        <v>94</v>
      </c>
      <c r="I8" s="11"/>
      <c r="J8" s="11"/>
      <c r="K8" s="19">
        <v>2.5</v>
      </c>
      <c r="L8" s="12">
        <v>4</v>
      </c>
      <c r="M8" s="12">
        <v>6</v>
      </c>
      <c r="N8" s="12">
        <v>8</v>
      </c>
      <c r="O8" s="11"/>
      <c r="P8" s="91">
        <v>8</v>
      </c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3"/>
      <c r="M9" s="13"/>
      <c r="N9" s="13"/>
      <c r="O9" s="1"/>
      <c r="P9" s="1"/>
    </row>
    <row r="10" spans="1:16" ht="14.25">
      <c r="A10" s="14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1"/>
      <c r="P10" s="1"/>
    </row>
    <row r="11" spans="1:16" ht="12.75">
      <c r="A11" s="1"/>
      <c r="B11" s="1" t="s">
        <v>6</v>
      </c>
      <c r="C11" s="1"/>
      <c r="D11" s="1"/>
      <c r="E11" s="1"/>
      <c r="F11" s="96">
        <v>0.6</v>
      </c>
      <c r="G11" s="1" t="s">
        <v>7</v>
      </c>
      <c r="H11" s="1"/>
      <c r="I11" s="97">
        <v>150</v>
      </c>
      <c r="J11" s="1" t="s">
        <v>8</v>
      </c>
      <c r="K11" s="68">
        <f>+K8*$F$11*$I$11</f>
        <v>225</v>
      </c>
      <c r="L11" s="68">
        <f>+L8*$F$11*$I$11</f>
        <v>360</v>
      </c>
      <c r="M11" s="68">
        <f>+M8*$F$11*$I$11</f>
        <v>540</v>
      </c>
      <c r="N11" s="68">
        <f>+N8*$F$11*$I$11</f>
        <v>720</v>
      </c>
      <c r="O11" s="1"/>
      <c r="P11" s="92">
        <f>+P8*$F$11*$I$11</f>
        <v>720</v>
      </c>
    </row>
    <row r="12" spans="1:16" ht="12.75">
      <c r="A12" s="1"/>
      <c r="B12" s="1" t="s">
        <v>9</v>
      </c>
      <c r="C12" s="1"/>
      <c r="D12" s="1"/>
      <c r="E12" s="1"/>
      <c r="F12" s="96">
        <v>0.4</v>
      </c>
      <c r="G12" s="1" t="s">
        <v>7</v>
      </c>
      <c r="H12" s="1"/>
      <c r="I12" s="97">
        <v>100</v>
      </c>
      <c r="J12" s="1" t="s">
        <v>8</v>
      </c>
      <c r="K12" s="69">
        <f>+K8*$I$12*$F$12</f>
        <v>100</v>
      </c>
      <c r="L12" s="69">
        <f>+L8*$I$12*$F$12</f>
        <v>160</v>
      </c>
      <c r="M12" s="69">
        <f>+M8*$I$12*$F$12</f>
        <v>240</v>
      </c>
      <c r="N12" s="69">
        <f>+N8*$I$12*$F$12</f>
        <v>320</v>
      </c>
      <c r="O12" s="1"/>
      <c r="P12" s="93">
        <f>+P8*$I$12*$F$12</f>
        <v>320</v>
      </c>
    </row>
    <row r="13" spans="1:18" ht="12.75">
      <c r="A13" s="1"/>
      <c r="B13" s="1" t="s">
        <v>10</v>
      </c>
      <c r="C13" s="1"/>
      <c r="D13" s="1"/>
      <c r="E13" s="1"/>
      <c r="F13" s="1"/>
      <c r="G13" s="1"/>
      <c r="H13" s="1"/>
      <c r="I13" s="15"/>
      <c r="J13" s="1"/>
      <c r="K13" s="68">
        <f>+K11+K12</f>
        <v>325</v>
      </c>
      <c r="L13" s="68">
        <f>+L11+L12</f>
        <v>520</v>
      </c>
      <c r="M13" s="68">
        <f>+M11+M12</f>
        <v>780</v>
      </c>
      <c r="N13" s="68">
        <f>+N11+N12</f>
        <v>1040</v>
      </c>
      <c r="O13" s="1"/>
      <c r="P13" s="92">
        <f>+P11+P12</f>
        <v>1040</v>
      </c>
      <c r="R13" s="10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68"/>
      <c r="L14" s="68"/>
      <c r="M14" s="68"/>
      <c r="N14" s="68"/>
      <c r="O14" s="1"/>
      <c r="P14" s="68"/>
    </row>
    <row r="15" spans="1:16" ht="12.75">
      <c r="A15" s="14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68"/>
      <c r="L15" s="68"/>
      <c r="M15" s="68"/>
      <c r="N15" s="68"/>
      <c r="O15" s="1"/>
      <c r="P15" s="68"/>
    </row>
    <row r="16" spans="1:17" ht="14.25">
      <c r="A16" s="1"/>
      <c r="B16" s="1" t="s">
        <v>46</v>
      </c>
      <c r="C16" s="1"/>
      <c r="D16" s="1"/>
      <c r="E16" s="1"/>
      <c r="F16" s="98">
        <v>15</v>
      </c>
      <c r="G16" s="1" t="s">
        <v>12</v>
      </c>
      <c r="H16" s="1"/>
      <c r="I16" s="99">
        <v>5</v>
      </c>
      <c r="J16" s="1" t="s">
        <v>13</v>
      </c>
      <c r="K16" s="68">
        <f>($F$16*$I$16)/4</f>
        <v>18.75</v>
      </c>
      <c r="L16" s="68">
        <f>($F$16*$I$16)/4</f>
        <v>18.75</v>
      </c>
      <c r="M16" s="68">
        <f>($F$16*$I$16)/4</f>
        <v>18.75</v>
      </c>
      <c r="N16" s="68">
        <f>($F$16*$I$16)/4</f>
        <v>18.75</v>
      </c>
      <c r="O16" s="1"/>
      <c r="P16" s="92">
        <f>($F$16*$I$16)/4</f>
        <v>18.75</v>
      </c>
      <c r="Q16" s="105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68"/>
      <c r="L17" s="68"/>
      <c r="M17" s="68"/>
      <c r="N17" s="68"/>
      <c r="O17" s="1"/>
      <c r="P17" s="94"/>
    </row>
    <row r="18" spans="1:16" ht="14.25">
      <c r="A18" s="1"/>
      <c r="B18" s="1" t="s">
        <v>47</v>
      </c>
      <c r="C18" s="1"/>
      <c r="D18" s="1"/>
      <c r="E18" s="1"/>
      <c r="F18" s="1"/>
      <c r="G18" s="1"/>
      <c r="H18" s="1"/>
      <c r="I18" s="1"/>
      <c r="J18" s="1"/>
      <c r="K18" s="68"/>
      <c r="L18" s="68"/>
      <c r="M18" s="68"/>
      <c r="N18" s="68"/>
      <c r="O18" s="1"/>
      <c r="P18" s="94"/>
    </row>
    <row r="19" spans="1:16" ht="15.75">
      <c r="A19" s="1"/>
      <c r="B19" s="1"/>
      <c r="C19" s="1" t="s">
        <v>48</v>
      </c>
      <c r="D19" s="1"/>
      <c r="E19" s="1">
        <v>50</v>
      </c>
      <c r="F19" s="1">
        <v>85</v>
      </c>
      <c r="G19" s="1">
        <v>110</v>
      </c>
      <c r="H19" s="98">
        <v>110</v>
      </c>
      <c r="I19" s="98">
        <f>F66/1040</f>
        <v>0.6730769230769231</v>
      </c>
      <c r="J19" s="1" t="s">
        <v>13</v>
      </c>
      <c r="K19" s="68">
        <f>+$I$19*E19</f>
        <v>33.65384615384615</v>
      </c>
      <c r="L19" s="68">
        <f>+$I$19*E19</f>
        <v>33.65384615384615</v>
      </c>
      <c r="M19" s="68">
        <f>+$I$19*F19</f>
        <v>57.21153846153847</v>
      </c>
      <c r="N19" s="68">
        <f>+$I$19*G19</f>
        <v>74.03846153846155</v>
      </c>
      <c r="O19" s="1"/>
      <c r="P19" s="92">
        <f>+$I$19*H19</f>
        <v>74.03846153846155</v>
      </c>
    </row>
    <row r="20" spans="1:16" ht="15.75">
      <c r="A20" s="1"/>
      <c r="B20" s="1"/>
      <c r="C20" s="1" t="s">
        <v>49</v>
      </c>
      <c r="D20" s="1"/>
      <c r="E20" s="1">
        <v>220</v>
      </c>
      <c r="F20" s="1">
        <v>300</v>
      </c>
      <c r="G20" s="1">
        <v>300</v>
      </c>
      <c r="H20" s="98">
        <v>300</v>
      </c>
      <c r="I20" s="98">
        <f>J66/1200</f>
        <v>0.42916666666666664</v>
      </c>
      <c r="J20" s="1" t="s">
        <v>13</v>
      </c>
      <c r="K20" s="68">
        <f>+$I$20*E20</f>
        <v>94.41666666666666</v>
      </c>
      <c r="L20" s="68">
        <f>+$I$20*E20</f>
        <v>94.41666666666666</v>
      </c>
      <c r="M20" s="68">
        <f>+$I$20*F20</f>
        <v>128.75</v>
      </c>
      <c r="N20" s="68">
        <f>+$I$20*G20</f>
        <v>128.75</v>
      </c>
      <c r="O20" s="1"/>
      <c r="P20" s="92">
        <f>+$I$20*H20</f>
        <v>128.75</v>
      </c>
    </row>
    <row r="21" spans="1:16" ht="12.75">
      <c r="A21" s="1"/>
      <c r="B21" s="1" t="s">
        <v>14</v>
      </c>
      <c r="C21" s="1"/>
      <c r="D21" s="1"/>
      <c r="E21" s="1"/>
      <c r="F21" s="98">
        <v>0.5</v>
      </c>
      <c r="G21" s="1"/>
      <c r="H21" s="1"/>
      <c r="I21" s="98">
        <v>25</v>
      </c>
      <c r="J21" s="1" t="s">
        <v>8</v>
      </c>
      <c r="K21" s="68">
        <f>+$F$21*$I$21</f>
        <v>12.5</v>
      </c>
      <c r="L21" s="68">
        <f>+$F$21*$I$21</f>
        <v>12.5</v>
      </c>
      <c r="M21" s="68">
        <f>+$F$21*$I$21</f>
        <v>12.5</v>
      </c>
      <c r="N21" s="68">
        <f>+$F$21*$I$21</f>
        <v>12.5</v>
      </c>
      <c r="O21" s="1"/>
      <c r="P21" s="92">
        <f>+$F$21*$I$21</f>
        <v>12.5</v>
      </c>
    </row>
    <row r="22" spans="1:17" ht="14.25">
      <c r="A22" s="1"/>
      <c r="B22" s="1" t="s">
        <v>50</v>
      </c>
      <c r="C22" s="1"/>
      <c r="D22" s="1"/>
      <c r="E22" s="1"/>
      <c r="F22" s="1"/>
      <c r="G22" s="1"/>
      <c r="H22" s="1"/>
      <c r="I22" s="1"/>
      <c r="J22" s="1"/>
      <c r="K22" s="68">
        <v>30</v>
      </c>
      <c r="L22" s="68">
        <v>14.67</v>
      </c>
      <c r="M22" s="68">
        <v>14.67</v>
      </c>
      <c r="N22" s="68">
        <v>14.67</v>
      </c>
      <c r="O22" s="68">
        <v>14.67</v>
      </c>
      <c r="P22" s="68">
        <v>14.67</v>
      </c>
      <c r="Q22" s="105"/>
    </row>
    <row r="23" spans="1:16" ht="14.25">
      <c r="A23" s="1"/>
      <c r="B23" s="1" t="s">
        <v>51</v>
      </c>
      <c r="C23" s="1"/>
      <c r="D23" s="1"/>
      <c r="E23" s="1"/>
      <c r="F23" s="1"/>
      <c r="G23" s="1"/>
      <c r="H23" s="1"/>
      <c r="I23" s="1"/>
      <c r="J23" s="1"/>
      <c r="K23" s="68">
        <f>+$L$101</f>
        <v>11.803</v>
      </c>
      <c r="L23" s="68">
        <f>+$L$101</f>
        <v>11.803</v>
      </c>
      <c r="M23" s="68">
        <f>+$L$101</f>
        <v>11.803</v>
      </c>
      <c r="N23" s="68">
        <f>+$L$101</f>
        <v>11.803</v>
      </c>
      <c r="O23" s="1"/>
      <c r="P23" s="92">
        <f>+$L$101</f>
        <v>11.803</v>
      </c>
    </row>
    <row r="24" spans="1:16" ht="14.25">
      <c r="A24" s="1"/>
      <c r="B24" s="1" t="s">
        <v>52</v>
      </c>
      <c r="C24" s="1"/>
      <c r="D24" s="1"/>
      <c r="E24" s="1"/>
      <c r="F24" s="1"/>
      <c r="G24" s="1"/>
      <c r="H24" s="1"/>
      <c r="I24" s="1"/>
      <c r="J24" s="1"/>
      <c r="K24" s="68">
        <f aca="true" t="shared" si="0" ref="K24:P24">$N$101</f>
        <v>16.91238243853132</v>
      </c>
      <c r="L24" s="68">
        <f t="shared" si="0"/>
        <v>16.91238243853132</v>
      </c>
      <c r="M24" s="68">
        <f t="shared" si="0"/>
        <v>16.91238243853132</v>
      </c>
      <c r="N24" s="68">
        <f t="shared" si="0"/>
        <v>16.91238243853132</v>
      </c>
      <c r="O24" s="68">
        <f t="shared" si="0"/>
        <v>16.91238243853132</v>
      </c>
      <c r="P24" s="92">
        <f t="shared" si="0"/>
        <v>16.91238243853132</v>
      </c>
    </row>
    <row r="25" spans="1:16" ht="14.25">
      <c r="A25" s="1"/>
      <c r="B25" s="1" t="s">
        <v>53</v>
      </c>
      <c r="C25" s="1"/>
      <c r="D25" s="1"/>
      <c r="E25" s="1"/>
      <c r="F25" s="1"/>
      <c r="G25" s="1"/>
      <c r="H25" s="1"/>
      <c r="I25" s="1"/>
      <c r="J25" s="1"/>
      <c r="K25" s="68">
        <v>16</v>
      </c>
      <c r="L25" s="68">
        <v>16</v>
      </c>
      <c r="M25" s="68">
        <v>17</v>
      </c>
      <c r="N25" s="68">
        <v>18</v>
      </c>
      <c r="O25" s="1"/>
      <c r="P25" s="101">
        <v>18</v>
      </c>
    </row>
    <row r="26" spans="1:16" ht="14.25">
      <c r="A26" s="1"/>
      <c r="B26" s="1" t="s">
        <v>54</v>
      </c>
      <c r="C26" s="1"/>
      <c r="D26" s="1"/>
      <c r="E26" s="1"/>
      <c r="F26" s="98">
        <v>6</v>
      </c>
      <c r="G26" s="1" t="s">
        <v>15</v>
      </c>
      <c r="H26" s="1"/>
      <c r="I26" s="100">
        <v>0.06</v>
      </c>
      <c r="J26" s="1"/>
      <c r="K26" s="68">
        <f>SUM(K16:K25)*I26*(F26/12)</f>
        <v>7.021076857771324</v>
      </c>
      <c r="L26" s="68">
        <f>SUM(L16:L25)*I26*(F26/12)</f>
        <v>6.561176857771324</v>
      </c>
      <c r="M26" s="68">
        <f>SUM(M16:M25)*I26*(F26/12)</f>
        <v>8.32790762700209</v>
      </c>
      <c r="N26" s="68">
        <f>SUM(N16:N25)*I26*(F26/12)</f>
        <v>8.862715319309785</v>
      </c>
      <c r="O26" s="1"/>
      <c r="P26" s="92">
        <f>SUM(P16:P25)*I26*(F26/12)</f>
        <v>8.862715319309785</v>
      </c>
    </row>
    <row r="27" spans="1:16" ht="14.25">
      <c r="A27" s="1"/>
      <c r="B27" s="1" t="s">
        <v>74</v>
      </c>
      <c r="C27" s="1"/>
      <c r="D27" s="1"/>
      <c r="E27" s="1"/>
      <c r="F27" s="1"/>
      <c r="G27" s="1"/>
      <c r="H27" s="1"/>
      <c r="I27" s="16"/>
      <c r="J27" s="1"/>
      <c r="K27" s="68">
        <v>12.4</v>
      </c>
      <c r="L27" s="68">
        <v>12.4</v>
      </c>
      <c r="M27" s="68">
        <v>12.4</v>
      </c>
      <c r="N27" s="68">
        <v>12.4</v>
      </c>
      <c r="O27" s="68">
        <v>12.72</v>
      </c>
      <c r="P27" s="101">
        <v>12.4</v>
      </c>
    </row>
    <row r="28" spans="1:16" ht="14.25">
      <c r="A28" s="1"/>
      <c r="B28" s="1" t="s">
        <v>75</v>
      </c>
      <c r="C28" s="1"/>
      <c r="D28" s="1"/>
      <c r="E28" s="1"/>
      <c r="F28" s="1"/>
      <c r="G28" s="1"/>
      <c r="H28" s="1"/>
      <c r="I28" s="1"/>
      <c r="J28" s="1"/>
      <c r="K28" s="68">
        <v>10</v>
      </c>
      <c r="L28" s="68">
        <v>10</v>
      </c>
      <c r="M28" s="68">
        <v>10</v>
      </c>
      <c r="N28" s="68">
        <v>10</v>
      </c>
      <c r="O28" s="1"/>
      <c r="P28" s="101">
        <v>10</v>
      </c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68"/>
      <c r="L29" s="70"/>
      <c r="M29" s="70"/>
      <c r="N29" s="70"/>
      <c r="O29" s="17"/>
      <c r="P29" s="95"/>
    </row>
    <row r="30" spans="1:16" ht="12.75">
      <c r="A30" s="14" t="s">
        <v>16</v>
      </c>
      <c r="B30" s="1"/>
      <c r="C30" s="1"/>
      <c r="D30" s="1"/>
      <c r="E30" s="1"/>
      <c r="F30" s="18" t="s">
        <v>17</v>
      </c>
      <c r="G30" s="1"/>
      <c r="H30" s="1"/>
      <c r="I30" s="1"/>
      <c r="J30" s="1"/>
      <c r="K30" s="71">
        <f>SUM(K16:K29)</f>
        <v>263.45697211681545</v>
      </c>
      <c r="L30" s="68">
        <f>SUM(L16:L29)</f>
        <v>247.66707211681546</v>
      </c>
      <c r="M30" s="68">
        <f>SUM(M16:M29)</f>
        <v>308.3248285270718</v>
      </c>
      <c r="N30" s="68">
        <f>SUM(N16:N29)</f>
        <v>326.6865592963027</v>
      </c>
      <c r="O30" s="1"/>
      <c r="P30" s="92">
        <f>SUM(P16:P29)</f>
        <v>326.6865592963027</v>
      </c>
    </row>
    <row r="31" spans="1:16" ht="12.75">
      <c r="A31" s="1"/>
      <c r="B31" s="1"/>
      <c r="C31" s="1"/>
      <c r="D31" s="1"/>
      <c r="E31" s="1"/>
      <c r="F31" s="18" t="s">
        <v>18</v>
      </c>
      <c r="G31" s="1"/>
      <c r="H31" s="1"/>
      <c r="I31" s="1"/>
      <c r="J31" s="1"/>
      <c r="K31" s="68">
        <f>+K30/K8</f>
        <v>105.38278884672619</v>
      </c>
      <c r="L31" s="68">
        <f>+L30/L8</f>
        <v>61.916768029203865</v>
      </c>
      <c r="M31" s="68">
        <f>+M30/M8</f>
        <v>51.38747142117864</v>
      </c>
      <c r="N31" s="68">
        <f>+N30/N8</f>
        <v>40.835819912037834</v>
      </c>
      <c r="O31" s="1"/>
      <c r="P31" s="92">
        <f>+P30/P8</f>
        <v>40.835819912037834</v>
      </c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68"/>
      <c r="L32" s="68"/>
      <c r="M32" s="68"/>
      <c r="N32" s="68"/>
      <c r="O32" s="1"/>
      <c r="P32" s="94"/>
    </row>
    <row r="33" spans="1:16" ht="12.75">
      <c r="A33" s="14" t="s">
        <v>19</v>
      </c>
      <c r="B33" s="1"/>
      <c r="C33" s="1"/>
      <c r="D33" s="1"/>
      <c r="E33" s="1"/>
      <c r="F33" s="1"/>
      <c r="G33" s="1"/>
      <c r="H33" s="1"/>
      <c r="I33" s="1"/>
      <c r="J33" s="1"/>
      <c r="K33" s="68"/>
      <c r="L33" s="68"/>
      <c r="M33" s="68"/>
      <c r="N33" s="68"/>
      <c r="O33" s="1"/>
      <c r="P33" s="94"/>
    </row>
    <row r="34" spans="1:16" ht="14.25">
      <c r="A34" s="1"/>
      <c r="B34" s="1" t="s">
        <v>76</v>
      </c>
      <c r="C34" s="1"/>
      <c r="D34" s="1"/>
      <c r="E34" s="1"/>
      <c r="F34" s="98">
        <v>4</v>
      </c>
      <c r="G34" s="1" t="s">
        <v>20</v>
      </c>
      <c r="H34" s="1"/>
      <c r="I34" s="99">
        <v>13.5</v>
      </c>
      <c r="J34" s="1" t="s">
        <v>21</v>
      </c>
      <c r="K34" s="68">
        <f>+$I$34*$F$34</f>
        <v>54</v>
      </c>
      <c r="L34" s="68">
        <f>+$I$34*$F$34</f>
        <v>54</v>
      </c>
      <c r="M34" s="68">
        <f>+$I$34*$F$34</f>
        <v>54</v>
      </c>
      <c r="N34" s="68">
        <f>+$I$34*$F$34</f>
        <v>54</v>
      </c>
      <c r="O34" s="1"/>
      <c r="P34" s="92">
        <f>+$I$34*$F$34</f>
        <v>54</v>
      </c>
    </row>
    <row r="35" spans="1:16" ht="12.75">
      <c r="A35" s="1"/>
      <c r="B35" s="1" t="s">
        <v>22</v>
      </c>
      <c r="C35" s="1"/>
      <c r="D35" s="1"/>
      <c r="E35" s="1"/>
      <c r="F35" s="96">
        <v>0.05</v>
      </c>
      <c r="G35" s="1" t="s">
        <v>23</v>
      </c>
      <c r="H35" s="1"/>
      <c r="I35" s="1"/>
      <c r="J35" s="1"/>
      <c r="K35" s="68">
        <f>$F$35*K13</f>
        <v>16.25</v>
      </c>
      <c r="L35" s="68">
        <f>$F$35*L13</f>
        <v>26</v>
      </c>
      <c r="M35" s="68">
        <f>$F$35*M13</f>
        <v>39</v>
      </c>
      <c r="N35" s="68">
        <f>$F$35*N13</f>
        <v>52</v>
      </c>
      <c r="O35" s="1"/>
      <c r="P35" s="92">
        <f>$F$35*P13</f>
        <v>52</v>
      </c>
    </row>
    <row r="36" spans="1:16" ht="14.25">
      <c r="A36" s="1"/>
      <c r="B36" s="1" t="s">
        <v>77</v>
      </c>
      <c r="C36" s="1"/>
      <c r="D36" s="1"/>
      <c r="E36" s="1"/>
      <c r="F36" s="1"/>
      <c r="G36" s="1"/>
      <c r="H36" s="1"/>
      <c r="I36" s="1"/>
      <c r="J36" s="1"/>
      <c r="K36" s="68">
        <f>+$J$101</f>
        <v>35.095609375</v>
      </c>
      <c r="L36" s="68">
        <f>+$J$101</f>
        <v>35.095609375</v>
      </c>
      <c r="M36" s="68">
        <f>+$J$101</f>
        <v>35.095609375</v>
      </c>
      <c r="N36" s="68">
        <f>+$J$101</f>
        <v>35.095609375</v>
      </c>
      <c r="O36" s="1"/>
      <c r="P36" s="92">
        <f>+$J$101</f>
        <v>35.095609375</v>
      </c>
    </row>
    <row r="37" spans="1:16" ht="14.25">
      <c r="A37" s="1"/>
      <c r="B37" s="1" t="s">
        <v>78</v>
      </c>
      <c r="C37" s="1"/>
      <c r="D37" s="1"/>
      <c r="E37" s="1"/>
      <c r="F37" s="1"/>
      <c r="G37" s="1"/>
      <c r="H37" s="1"/>
      <c r="I37" s="1"/>
      <c r="J37" s="1"/>
      <c r="K37" s="68">
        <v>12.71</v>
      </c>
      <c r="L37" s="68">
        <v>12.71</v>
      </c>
      <c r="M37" s="68">
        <v>12.71</v>
      </c>
      <c r="N37" s="68">
        <v>12.71</v>
      </c>
      <c r="O37" s="1"/>
      <c r="P37" s="101">
        <v>12.71</v>
      </c>
    </row>
    <row r="38" spans="1:16" ht="14.25">
      <c r="A38" s="1"/>
      <c r="B38" s="1" t="s">
        <v>79</v>
      </c>
      <c r="C38" s="1"/>
      <c r="D38" s="1"/>
      <c r="E38" s="1"/>
      <c r="F38" s="1"/>
      <c r="G38" s="1"/>
      <c r="H38" s="1"/>
      <c r="I38" s="1"/>
      <c r="J38" s="1"/>
      <c r="K38" s="68">
        <v>90</v>
      </c>
      <c r="L38" s="68">
        <v>90</v>
      </c>
      <c r="M38" s="68">
        <v>130</v>
      </c>
      <c r="N38" s="68">
        <v>165</v>
      </c>
      <c r="O38" s="104">
        <v>175</v>
      </c>
      <c r="P38" s="101">
        <v>200</v>
      </c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68"/>
      <c r="L39" s="70"/>
      <c r="M39" s="70"/>
      <c r="N39" s="70"/>
      <c r="O39" s="17"/>
      <c r="P39" s="95"/>
    </row>
    <row r="40" spans="1:16" ht="12.75">
      <c r="A40" s="14" t="s">
        <v>24</v>
      </c>
      <c r="B40" s="1"/>
      <c r="C40" s="1"/>
      <c r="D40" s="1"/>
      <c r="E40" s="1"/>
      <c r="F40" s="1"/>
      <c r="G40" s="1"/>
      <c r="H40" s="1"/>
      <c r="I40" s="1"/>
      <c r="J40" s="1"/>
      <c r="K40" s="71">
        <f>SUM(K34:K39)</f>
        <v>208.05560937500002</v>
      </c>
      <c r="L40" s="68">
        <f>SUM(L34:L39)</f>
        <v>217.80560937500002</v>
      </c>
      <c r="M40" s="68">
        <f>SUM(M34:M39)</f>
        <v>270.805609375</v>
      </c>
      <c r="N40" s="68">
        <f>SUM(N34:N39)</f>
        <v>318.805609375</v>
      </c>
      <c r="O40" s="1"/>
      <c r="P40" s="92">
        <f>SUM(P34:P39)</f>
        <v>353.805609375</v>
      </c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68"/>
      <c r="L41" s="68"/>
      <c r="M41" s="68"/>
      <c r="N41" s="68"/>
      <c r="O41" s="1"/>
      <c r="P41" s="94"/>
    </row>
    <row r="42" spans="1:16" ht="12.75">
      <c r="A42" s="14" t="s">
        <v>25</v>
      </c>
      <c r="B42" s="1"/>
      <c r="C42" s="1"/>
      <c r="D42" s="1"/>
      <c r="E42" s="1"/>
      <c r="F42" s="18" t="s">
        <v>17</v>
      </c>
      <c r="G42" s="1"/>
      <c r="H42" s="1"/>
      <c r="I42" s="1"/>
      <c r="J42" s="1"/>
      <c r="K42" s="68">
        <f>+K30+K40</f>
        <v>471.51258149181547</v>
      </c>
      <c r="L42" s="68">
        <f>+L30+L40</f>
        <v>465.4726814918155</v>
      </c>
      <c r="M42" s="68">
        <f>+M30+M40</f>
        <v>579.1304379020719</v>
      </c>
      <c r="N42" s="68">
        <f>+N30+N40</f>
        <v>645.4921686713027</v>
      </c>
      <c r="O42" s="1"/>
      <c r="P42" s="92">
        <f>+P30+P40</f>
        <v>680.4921686713027</v>
      </c>
    </row>
    <row r="43" spans="1:16" ht="12.75">
      <c r="A43" s="14"/>
      <c r="B43" s="1"/>
      <c r="C43" s="1"/>
      <c r="D43" s="1"/>
      <c r="E43" s="1"/>
      <c r="F43" s="18" t="s">
        <v>18</v>
      </c>
      <c r="G43" s="1"/>
      <c r="H43" s="1"/>
      <c r="I43" s="1"/>
      <c r="J43" s="1"/>
      <c r="K43" s="68">
        <f>+K42/K8</f>
        <v>188.60503259672618</v>
      </c>
      <c r="L43" s="68">
        <f>+L42/L8</f>
        <v>116.36817037295387</v>
      </c>
      <c r="M43" s="68">
        <f>+M42/M8</f>
        <v>96.52173965034531</v>
      </c>
      <c r="N43" s="68">
        <f>+N42/N8</f>
        <v>80.68652108391284</v>
      </c>
      <c r="O43" s="1"/>
      <c r="P43" s="92">
        <f>+P42/P8</f>
        <v>85.06152108391284</v>
      </c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68"/>
      <c r="L44" s="68"/>
      <c r="M44" s="68"/>
      <c r="N44" s="68"/>
      <c r="O44" s="1"/>
      <c r="P44" s="94"/>
    </row>
    <row r="45" spans="1:16" ht="14.25">
      <c r="A45" s="14" t="s">
        <v>121</v>
      </c>
      <c r="B45" s="1"/>
      <c r="C45" s="1"/>
      <c r="D45" s="1"/>
      <c r="E45" s="1"/>
      <c r="F45" s="1"/>
      <c r="G45" s="1"/>
      <c r="H45" s="1"/>
      <c r="I45" s="1"/>
      <c r="J45" s="1"/>
      <c r="K45" s="68">
        <f aca="true" t="shared" si="1" ref="K45:P45">K48+K34+K35</f>
        <v>-76.26258149181547</v>
      </c>
      <c r="L45" s="68">
        <f t="shared" si="1"/>
        <v>134.52731850818452</v>
      </c>
      <c r="M45" s="68">
        <f t="shared" si="1"/>
        <v>293.8695620979281</v>
      </c>
      <c r="N45" s="68">
        <f t="shared" si="1"/>
        <v>500.5078313286973</v>
      </c>
      <c r="O45" s="68">
        <f t="shared" si="1"/>
        <v>0</v>
      </c>
      <c r="P45" s="68">
        <f t="shared" si="1"/>
        <v>465.5078313286973</v>
      </c>
    </row>
    <row r="46" spans="1:16" ht="12.75">
      <c r="A46" s="8" t="s">
        <v>109</v>
      </c>
      <c r="B46" s="10"/>
      <c r="C46" s="10"/>
      <c r="D46" s="1"/>
      <c r="E46" s="1"/>
      <c r="F46" s="1"/>
      <c r="G46" s="1"/>
      <c r="H46" s="1"/>
      <c r="I46" s="1"/>
      <c r="J46" s="1"/>
      <c r="K46" s="68">
        <f aca="true" t="shared" si="2" ref="K46:P46">+K48+K38</f>
        <v>-56.51258149181547</v>
      </c>
      <c r="L46" s="68">
        <f t="shared" si="2"/>
        <v>144.52731850818452</v>
      </c>
      <c r="M46" s="68">
        <f t="shared" si="2"/>
        <v>330.8695620979281</v>
      </c>
      <c r="N46" s="68">
        <f t="shared" si="2"/>
        <v>559.5078313286973</v>
      </c>
      <c r="O46" s="68">
        <f t="shared" si="2"/>
        <v>175</v>
      </c>
      <c r="P46" s="68">
        <f t="shared" si="2"/>
        <v>559.5078313286973</v>
      </c>
    </row>
    <row r="47" spans="1:16" ht="12.75">
      <c r="A47" s="14" t="s">
        <v>26</v>
      </c>
      <c r="B47" s="1"/>
      <c r="C47" s="1"/>
      <c r="D47" s="1"/>
      <c r="E47" s="1"/>
      <c r="F47" s="1"/>
      <c r="G47" s="1"/>
      <c r="H47" s="1"/>
      <c r="I47" s="1"/>
      <c r="J47" s="1"/>
      <c r="K47" s="68">
        <f aca="true" t="shared" si="3" ref="K47:P47">+K13-K30</f>
        <v>61.54302788318455</v>
      </c>
      <c r="L47" s="68">
        <f t="shared" si="3"/>
        <v>272.33292788318454</v>
      </c>
      <c r="M47" s="68">
        <f t="shared" si="3"/>
        <v>471.6751714729282</v>
      </c>
      <c r="N47" s="68">
        <f t="shared" si="3"/>
        <v>713.3134407036973</v>
      </c>
      <c r="O47" s="68">
        <f t="shared" si="3"/>
        <v>0</v>
      </c>
      <c r="P47" s="68">
        <f t="shared" si="3"/>
        <v>713.3134407036973</v>
      </c>
    </row>
    <row r="48" spans="1:16" ht="12.75">
      <c r="A48" s="8" t="s">
        <v>27</v>
      </c>
      <c r="B48" s="10"/>
      <c r="C48" s="10"/>
      <c r="D48" s="1"/>
      <c r="E48" s="1"/>
      <c r="F48" s="1"/>
      <c r="G48" s="1"/>
      <c r="H48" s="1"/>
      <c r="I48" s="1"/>
      <c r="J48" s="1"/>
      <c r="K48" s="3">
        <f aca="true" t="shared" si="4" ref="K48:P48">K13-K42</f>
        <v>-146.51258149181547</v>
      </c>
      <c r="L48" s="3">
        <f t="shared" si="4"/>
        <v>54.52731850818452</v>
      </c>
      <c r="M48" s="3">
        <f t="shared" si="4"/>
        <v>200.8695620979281</v>
      </c>
      <c r="N48" s="3">
        <f t="shared" si="4"/>
        <v>394.5078313286973</v>
      </c>
      <c r="O48" s="3">
        <f t="shared" si="4"/>
        <v>0</v>
      </c>
      <c r="P48" s="3">
        <f t="shared" si="4"/>
        <v>359.5078313286973</v>
      </c>
    </row>
    <row r="49" spans="1:16" ht="12.75">
      <c r="A49" s="1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20"/>
      <c r="M49" s="20"/>
      <c r="N49" s="20"/>
      <c r="O49" s="11"/>
      <c r="P49" s="11"/>
    </row>
    <row r="50" spans="1:16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1"/>
      <c r="M50" s="21"/>
      <c r="N50" s="21"/>
      <c r="O50" s="10"/>
      <c r="P50" s="10"/>
    </row>
    <row r="51" spans="1:16" ht="14.25" customHeight="1">
      <c r="A51" s="30" t="s">
        <v>104</v>
      </c>
      <c r="B51" s="30"/>
      <c r="C51" s="10"/>
      <c r="D51" s="10"/>
      <c r="E51" s="10"/>
      <c r="F51" s="10"/>
      <c r="G51" s="10"/>
      <c r="H51" s="10"/>
      <c r="I51" s="10"/>
      <c r="J51" s="10"/>
      <c r="K51" s="10"/>
      <c r="L51" s="21"/>
      <c r="M51" s="21"/>
      <c r="N51" s="21"/>
      <c r="O51" s="10"/>
      <c r="P51" s="10"/>
    </row>
    <row r="52" spans="2:16" ht="14.25" customHeight="1">
      <c r="B52" s="30" t="s">
        <v>105</v>
      </c>
      <c r="C52" s="10"/>
      <c r="D52" s="10"/>
      <c r="E52" s="10"/>
      <c r="F52" s="10"/>
      <c r="G52" s="10"/>
      <c r="H52" s="10"/>
      <c r="I52" s="10"/>
      <c r="J52" s="10"/>
      <c r="K52" s="10"/>
      <c r="L52" s="21"/>
      <c r="M52" s="21"/>
      <c r="N52" s="21"/>
      <c r="O52" s="10"/>
      <c r="P52" s="10"/>
    </row>
    <row r="53" spans="1:16" ht="14.25" customHeight="1">
      <c r="A53" s="30" t="s">
        <v>106</v>
      </c>
      <c r="B53" s="30"/>
      <c r="C53" s="10"/>
      <c r="D53" s="10"/>
      <c r="E53" s="10"/>
      <c r="F53" s="10"/>
      <c r="G53" s="10"/>
      <c r="H53" s="10"/>
      <c r="I53" s="10"/>
      <c r="J53" s="10"/>
      <c r="K53" s="10"/>
      <c r="L53" s="21"/>
      <c r="M53" s="21"/>
      <c r="N53" s="21"/>
      <c r="O53" s="10"/>
      <c r="P53" s="10"/>
    </row>
    <row r="54" spans="1:16" ht="14.25" customHeight="1">
      <c r="A54" s="30"/>
      <c r="B54" s="30" t="s">
        <v>107</v>
      </c>
      <c r="C54" s="10"/>
      <c r="D54" s="10"/>
      <c r="E54" s="10"/>
      <c r="F54" s="10"/>
      <c r="G54" s="10"/>
      <c r="H54" s="10"/>
      <c r="I54" s="10"/>
      <c r="J54" s="10"/>
      <c r="K54" s="10"/>
      <c r="L54" s="21"/>
      <c r="M54" s="21"/>
      <c r="N54" s="21"/>
      <c r="O54" s="10"/>
      <c r="P54" s="10"/>
    </row>
    <row r="55" spans="1:16" ht="14.25" customHeight="1">
      <c r="A55" s="30" t="s">
        <v>108</v>
      </c>
      <c r="B55" s="30"/>
      <c r="C55" s="10"/>
      <c r="D55" s="10"/>
      <c r="E55" s="10"/>
      <c r="F55" s="10"/>
      <c r="G55" s="10"/>
      <c r="H55" s="10"/>
      <c r="I55" s="10"/>
      <c r="J55" s="10"/>
      <c r="K55" s="10"/>
      <c r="L55" s="21"/>
      <c r="M55" s="21"/>
      <c r="N55" s="21"/>
      <c r="O55" s="10"/>
      <c r="P55" s="10"/>
    </row>
    <row r="56" spans="1:16" ht="14.25">
      <c r="A56" s="22">
        <v>1</v>
      </c>
      <c r="B56" s="1" t="s">
        <v>126</v>
      </c>
      <c r="C56" s="1"/>
      <c r="D56" s="1"/>
      <c r="E56" s="1"/>
      <c r="F56" s="1"/>
      <c r="G56" s="1"/>
      <c r="H56" s="1"/>
      <c r="I56" s="1"/>
      <c r="J56" s="1"/>
      <c r="K56" s="1"/>
      <c r="L56" s="3"/>
      <c r="M56" s="3"/>
      <c r="N56" s="3"/>
      <c r="O56" s="1"/>
      <c r="P56" s="1"/>
    </row>
    <row r="57" spans="1:16" ht="14.25">
      <c r="A57" s="22">
        <v>2</v>
      </c>
      <c r="B57" s="1" t="s">
        <v>71</v>
      </c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3"/>
      <c r="O57" s="1"/>
      <c r="P57" s="1"/>
    </row>
    <row r="58" spans="1:16" ht="12.75">
      <c r="A58" s="1"/>
      <c r="C58" s="1" t="s">
        <v>72</v>
      </c>
      <c r="D58" s="1"/>
      <c r="E58" s="1"/>
      <c r="F58" s="1"/>
      <c r="G58" s="1"/>
      <c r="H58" s="1"/>
      <c r="I58" s="1"/>
      <c r="J58" s="1"/>
      <c r="K58" s="1"/>
      <c r="L58" s="3"/>
      <c r="M58" s="3"/>
      <c r="N58" s="3"/>
      <c r="O58" s="1"/>
      <c r="P58" s="1"/>
    </row>
    <row r="59" spans="1:16" ht="14.25">
      <c r="A59" s="22">
        <v>3</v>
      </c>
      <c r="B59" s="1" t="s">
        <v>28</v>
      </c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  <c r="O59" s="1"/>
      <c r="P59" s="1"/>
    </row>
    <row r="60" spans="1:16" ht="14.25">
      <c r="A60" s="22"/>
      <c r="B60" s="1"/>
      <c r="C60" s="1" t="s">
        <v>29</v>
      </c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  <c r="O60" s="1"/>
      <c r="P60" s="1"/>
    </row>
    <row r="61" spans="1:16" ht="14.25">
      <c r="A61" s="22"/>
      <c r="B61" s="1"/>
      <c r="C61" s="1" t="s">
        <v>30</v>
      </c>
      <c r="D61" s="1"/>
      <c r="E61" s="1"/>
      <c r="F61" s="1"/>
      <c r="G61" s="1"/>
      <c r="H61" s="1"/>
      <c r="I61" s="1"/>
      <c r="J61" s="1"/>
      <c r="K61" s="1"/>
      <c r="L61" s="3"/>
      <c r="M61" s="3"/>
      <c r="N61" s="3"/>
      <c r="O61" s="1"/>
      <c r="P61" s="1"/>
    </row>
    <row r="62" spans="1:16" ht="14.25">
      <c r="A62" s="22">
        <v>4</v>
      </c>
      <c r="B62" s="1" t="s">
        <v>31</v>
      </c>
      <c r="C62" s="1"/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  <c r="O62" s="1"/>
      <c r="P62" s="1"/>
    </row>
    <row r="63" spans="1:16" ht="14.25">
      <c r="A63" s="22">
        <v>5</v>
      </c>
      <c r="B63" s="1" t="s">
        <v>32</v>
      </c>
      <c r="C63" s="1"/>
      <c r="D63" s="1"/>
      <c r="E63" s="1"/>
      <c r="F63" s="1"/>
      <c r="G63" s="1"/>
      <c r="H63" s="1"/>
      <c r="I63" s="1"/>
      <c r="J63" s="1"/>
      <c r="K63" s="1"/>
      <c r="L63" s="3"/>
      <c r="M63" s="3"/>
      <c r="N63" s="3"/>
      <c r="O63" s="1"/>
      <c r="P63" s="1"/>
    </row>
    <row r="64" spans="1:16" ht="12.75">
      <c r="A64" s="1"/>
      <c r="C64" s="1" t="s">
        <v>91</v>
      </c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  <c r="O64" s="1"/>
      <c r="P64" s="1"/>
    </row>
    <row r="65" spans="1:16" ht="12.75">
      <c r="A65" s="1"/>
      <c r="C65" s="1" t="s">
        <v>33</v>
      </c>
      <c r="D65" s="1"/>
      <c r="E65" s="1"/>
      <c r="F65" s="1"/>
      <c r="G65" s="1"/>
      <c r="H65" s="1"/>
      <c r="I65" s="1"/>
      <c r="J65" s="1"/>
      <c r="K65" s="1"/>
      <c r="L65" s="3"/>
      <c r="M65" s="3"/>
      <c r="N65" s="3"/>
      <c r="O65" s="1"/>
      <c r="P65" s="1"/>
    </row>
    <row r="66" spans="1:16" ht="12.75">
      <c r="A66" s="1"/>
      <c r="C66" s="30" t="s">
        <v>97</v>
      </c>
      <c r="D66" s="30"/>
      <c r="E66" s="30"/>
      <c r="F66" s="41">
        <v>700</v>
      </c>
      <c r="G66" s="106" t="s">
        <v>8</v>
      </c>
      <c r="H66" s="30" t="s">
        <v>98</v>
      </c>
      <c r="I66" s="88"/>
      <c r="J66" s="107">
        <v>515</v>
      </c>
      <c r="K66" s="106" t="s">
        <v>8</v>
      </c>
      <c r="L66" s="3"/>
      <c r="M66" s="3"/>
      <c r="N66" s="3"/>
      <c r="O66" s="1"/>
      <c r="P66" s="1"/>
    </row>
    <row r="67" spans="1:16" ht="12.75">
      <c r="A67" s="1"/>
      <c r="C67" s="1" t="s">
        <v>90</v>
      </c>
      <c r="D67" s="1"/>
      <c r="E67" s="1"/>
      <c r="F67" s="1"/>
      <c r="G67" s="1"/>
      <c r="H67" s="1"/>
      <c r="I67" s="1"/>
      <c r="J67" s="1"/>
      <c r="K67" s="1"/>
      <c r="L67" s="3"/>
      <c r="M67" s="3"/>
      <c r="N67" s="3"/>
      <c r="O67" s="1"/>
      <c r="P67" s="1"/>
    </row>
    <row r="68" spans="1:16" ht="12.75">
      <c r="A68" s="1"/>
      <c r="C68" s="1" t="s">
        <v>92</v>
      </c>
      <c r="D68" s="1"/>
      <c r="E68" s="1"/>
      <c r="F68" s="1"/>
      <c r="G68" s="1"/>
      <c r="H68" s="1"/>
      <c r="I68" s="1"/>
      <c r="J68" s="1"/>
      <c r="K68" s="1"/>
      <c r="L68" s="3"/>
      <c r="M68" s="3"/>
      <c r="N68" s="3"/>
      <c r="O68" s="1"/>
      <c r="P68" s="1"/>
    </row>
    <row r="69" spans="1:16" ht="14.25">
      <c r="A69" s="22">
        <v>6</v>
      </c>
      <c r="B69" s="1" t="s">
        <v>81</v>
      </c>
      <c r="C69" s="1"/>
      <c r="D69" s="1"/>
      <c r="E69" s="1"/>
      <c r="F69" s="1"/>
      <c r="G69" s="1"/>
      <c r="H69" s="1"/>
      <c r="I69" s="1"/>
      <c r="J69" s="1"/>
      <c r="K69" s="1"/>
      <c r="L69" s="3"/>
      <c r="M69" s="3"/>
      <c r="N69" s="3"/>
      <c r="O69" s="1"/>
      <c r="P69" s="1"/>
    </row>
    <row r="70" spans="1:16" ht="14.25">
      <c r="A70" s="22"/>
      <c r="B70" s="1" t="s">
        <v>82</v>
      </c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1"/>
      <c r="P70" s="1"/>
    </row>
    <row r="71" spans="1:16" ht="14.25">
      <c r="A71" s="22"/>
      <c r="B71" s="1" t="s">
        <v>123</v>
      </c>
      <c r="C71" s="1"/>
      <c r="D71" s="1"/>
      <c r="E71" s="1"/>
      <c r="F71" s="1"/>
      <c r="G71" s="1"/>
      <c r="H71" s="1"/>
      <c r="I71" s="1"/>
      <c r="J71" s="1"/>
      <c r="K71" s="1"/>
      <c r="L71" s="3"/>
      <c r="M71" s="3"/>
      <c r="N71" s="3"/>
      <c r="O71" s="1"/>
      <c r="P71" s="1"/>
    </row>
    <row r="72" spans="1:16" ht="12.75">
      <c r="A72" s="1"/>
      <c r="B72" s="1" t="s">
        <v>122</v>
      </c>
      <c r="C72" s="1"/>
      <c r="D72" s="1"/>
      <c r="E72" s="1"/>
      <c r="F72" s="1"/>
      <c r="G72" s="1"/>
      <c r="H72" s="1"/>
      <c r="I72" s="1"/>
      <c r="J72" s="1"/>
      <c r="K72" s="1"/>
      <c r="L72" s="3"/>
      <c r="M72" s="3"/>
      <c r="N72" s="3"/>
      <c r="O72" s="1"/>
      <c r="P72" s="1"/>
    </row>
    <row r="73" spans="1:16" ht="12.75">
      <c r="A73" s="1"/>
      <c r="B73" s="1" t="s">
        <v>124</v>
      </c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3"/>
      <c r="O73" s="1"/>
      <c r="P73" s="1"/>
    </row>
    <row r="74" spans="1:14" ht="14.25">
      <c r="A74" s="22">
        <v>7</v>
      </c>
      <c r="B74" s="1" t="s">
        <v>73</v>
      </c>
      <c r="L74" s="23"/>
      <c r="M74" s="23"/>
      <c r="N74" s="23"/>
    </row>
    <row r="75" spans="1:14" ht="14.25">
      <c r="A75" s="22">
        <v>8</v>
      </c>
      <c r="B75" s="1" t="s">
        <v>34</v>
      </c>
      <c r="L75" s="23"/>
      <c r="M75" s="23"/>
      <c r="N75" s="23"/>
    </row>
    <row r="76" spans="1:16" ht="14.25">
      <c r="A76" s="22">
        <v>9</v>
      </c>
      <c r="B76" s="1" t="s">
        <v>35</v>
      </c>
      <c r="C76" s="1"/>
      <c r="D76" s="1"/>
      <c r="E76" s="1"/>
      <c r="F76" s="1"/>
      <c r="G76" s="1"/>
      <c r="H76" s="1"/>
      <c r="I76" s="1"/>
      <c r="J76" s="1"/>
      <c r="K76" s="1"/>
      <c r="L76" s="3"/>
      <c r="M76" s="3"/>
      <c r="N76" s="3"/>
      <c r="O76" s="1"/>
      <c r="P76" s="1"/>
    </row>
    <row r="77" spans="1:16" ht="14.25">
      <c r="A77" s="22">
        <v>10</v>
      </c>
      <c r="B77" s="1" t="s">
        <v>120</v>
      </c>
      <c r="C77" s="1"/>
      <c r="D77" s="1"/>
      <c r="E77" s="1"/>
      <c r="F77" s="1"/>
      <c r="G77" s="1"/>
      <c r="H77" s="1"/>
      <c r="I77" s="1"/>
      <c r="J77" s="1"/>
      <c r="K77" s="1"/>
      <c r="L77" s="3"/>
      <c r="M77" s="3"/>
      <c r="N77" s="3"/>
      <c r="O77" s="1"/>
      <c r="P77" s="1"/>
    </row>
    <row r="78" spans="1:16" ht="14.25">
      <c r="A78" s="22">
        <v>11</v>
      </c>
      <c r="B78" s="1" t="s">
        <v>127</v>
      </c>
      <c r="C78" s="1"/>
      <c r="D78" s="1"/>
      <c r="E78" s="1"/>
      <c r="F78" s="1"/>
      <c r="G78" s="1"/>
      <c r="H78" s="1"/>
      <c r="I78" s="1"/>
      <c r="J78" s="1"/>
      <c r="K78" s="1"/>
      <c r="L78" s="3"/>
      <c r="M78" s="3"/>
      <c r="N78" s="3"/>
      <c r="O78" s="1"/>
      <c r="P78" s="1"/>
    </row>
    <row r="79" spans="1:16" ht="14.25">
      <c r="A79" s="22">
        <v>12</v>
      </c>
      <c r="B79" s="1" t="s">
        <v>36</v>
      </c>
      <c r="C79" s="1"/>
      <c r="D79" s="1"/>
      <c r="E79" s="1"/>
      <c r="F79" s="1"/>
      <c r="G79" s="1"/>
      <c r="H79" s="1"/>
      <c r="I79" s="1"/>
      <c r="J79" s="1"/>
      <c r="K79" s="1"/>
      <c r="L79" s="3"/>
      <c r="M79" s="3"/>
      <c r="N79" s="3"/>
      <c r="O79" s="1"/>
      <c r="P79" s="1"/>
    </row>
    <row r="80" spans="1:16" ht="12.75">
      <c r="A80" s="1"/>
      <c r="B80" s="1" t="s">
        <v>101</v>
      </c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3"/>
      <c r="O80" s="1"/>
      <c r="P80" s="1"/>
    </row>
    <row r="81" spans="1:16" ht="14.25">
      <c r="A81" s="22">
        <v>13</v>
      </c>
      <c r="B81" s="1" t="s">
        <v>102</v>
      </c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3"/>
      <c r="O81" s="1"/>
      <c r="P81" s="1"/>
    </row>
    <row r="82" spans="1:16" ht="14.25">
      <c r="A82" s="22">
        <v>14</v>
      </c>
      <c r="B82" s="1" t="s">
        <v>37</v>
      </c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3"/>
      <c r="O82" s="1"/>
      <c r="P82" s="1"/>
    </row>
    <row r="83" spans="1:16" ht="14.25">
      <c r="A83" s="22"/>
      <c r="B83" s="1"/>
      <c r="C83" s="1" t="s">
        <v>129</v>
      </c>
      <c r="D83" s="1"/>
      <c r="E83" s="1"/>
      <c r="F83" s="1"/>
      <c r="G83" s="1"/>
      <c r="H83" s="1"/>
      <c r="I83" s="1"/>
      <c r="J83" s="1"/>
      <c r="K83" s="1"/>
      <c r="L83" s="3"/>
      <c r="M83" s="3"/>
      <c r="N83" s="3"/>
      <c r="O83" s="1"/>
      <c r="P83" s="1"/>
    </row>
    <row r="84" spans="1:16" ht="14.25">
      <c r="A84" s="22"/>
      <c r="B84" s="1"/>
      <c r="C84" s="1" t="s">
        <v>130</v>
      </c>
      <c r="D84" s="1"/>
      <c r="E84" s="1"/>
      <c r="F84" s="1"/>
      <c r="G84" s="1"/>
      <c r="H84" s="1"/>
      <c r="I84" s="1"/>
      <c r="J84" s="1"/>
      <c r="K84" s="1"/>
      <c r="L84" s="3"/>
      <c r="M84" s="3"/>
      <c r="N84" s="3"/>
      <c r="O84" s="1"/>
      <c r="P84" s="1"/>
    </row>
    <row r="85" spans="1:16" ht="14.25">
      <c r="A85" s="22">
        <v>15</v>
      </c>
      <c r="B85" s="1" t="s">
        <v>131</v>
      </c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3"/>
      <c r="O85" s="1"/>
      <c r="P85" s="1"/>
    </row>
    <row r="86" spans="1:16" ht="14.25">
      <c r="A86" s="22"/>
      <c r="B86" s="1" t="s">
        <v>132</v>
      </c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3"/>
      <c r="O86" s="1"/>
      <c r="P86" s="1"/>
    </row>
    <row r="87" spans="1:16" ht="14.25">
      <c r="A87" s="22"/>
      <c r="B87" s="1"/>
      <c r="C87" s="1" t="s">
        <v>128</v>
      </c>
      <c r="D87" s="1"/>
      <c r="E87" s="1"/>
      <c r="F87" s="1"/>
      <c r="G87" s="1"/>
      <c r="H87" s="1"/>
      <c r="I87" s="1"/>
      <c r="J87" s="1"/>
      <c r="K87" s="1"/>
      <c r="L87" s="3"/>
      <c r="M87" s="3"/>
      <c r="N87" s="3"/>
      <c r="O87" s="1"/>
      <c r="P87" s="1"/>
    </row>
    <row r="88" spans="1:14" ht="14.25">
      <c r="A88" s="22">
        <v>16</v>
      </c>
      <c r="B88" s="1" t="s">
        <v>38</v>
      </c>
      <c r="C88" s="1"/>
      <c r="L88" s="23"/>
      <c r="M88" s="23"/>
      <c r="N88" s="23"/>
    </row>
    <row r="89" spans="2:14" ht="12.75">
      <c r="B89" s="1"/>
      <c r="C89" s="1" t="s">
        <v>39</v>
      </c>
      <c r="L89" s="23"/>
      <c r="M89" s="23"/>
      <c r="N89" s="23"/>
    </row>
    <row r="90" spans="2:14" ht="12.75">
      <c r="B90" s="1"/>
      <c r="C90" s="1"/>
      <c r="L90" s="23"/>
      <c r="M90" s="23"/>
      <c r="N90" s="23"/>
    </row>
    <row r="91" spans="1:14" ht="12.75">
      <c r="A91" s="147" t="s">
        <v>80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ht="36">
      <c r="A92" s="30"/>
      <c r="B92" s="30"/>
      <c r="C92" s="30"/>
      <c r="D92" s="30"/>
      <c r="E92" s="31" t="s">
        <v>40</v>
      </c>
      <c r="F92" s="32" t="s">
        <v>55</v>
      </c>
      <c r="G92" s="31" t="s">
        <v>56</v>
      </c>
      <c r="H92" s="31"/>
      <c r="I92" s="31"/>
      <c r="J92" s="33" t="s">
        <v>57</v>
      </c>
      <c r="K92" s="32" t="s">
        <v>58</v>
      </c>
      <c r="L92" s="32" t="s">
        <v>59</v>
      </c>
      <c r="M92" s="132" t="s">
        <v>119</v>
      </c>
      <c r="N92" s="32" t="s">
        <v>41</v>
      </c>
    </row>
    <row r="93" spans="1:14" ht="12.75">
      <c r="A93" s="30"/>
      <c r="B93" s="34" t="s">
        <v>136</v>
      </c>
      <c r="C93" s="34"/>
      <c r="D93" s="34"/>
      <c r="E93" s="35">
        <v>4</v>
      </c>
      <c r="F93" s="36">
        <v>27000</v>
      </c>
      <c r="G93" s="37">
        <v>200</v>
      </c>
      <c r="H93" s="38"/>
      <c r="I93" s="38"/>
      <c r="J93" s="39">
        <f>'Machinery Costs'!J2</f>
        <v>12.708984375</v>
      </c>
      <c r="K93" s="40">
        <v>8.73</v>
      </c>
      <c r="L93" s="120">
        <f>0.38*E93</f>
        <v>1.52</v>
      </c>
      <c r="M93" s="125">
        <f>(G93*E93)/K93</f>
        <v>91.63802978235968</v>
      </c>
      <c r="N93" s="120">
        <f>0.53*E93</f>
        <v>2.12</v>
      </c>
    </row>
    <row r="94" spans="1:14" ht="12.75">
      <c r="A94" s="30"/>
      <c r="B94" s="41" t="s">
        <v>103</v>
      </c>
      <c r="C94" s="41"/>
      <c r="D94" s="41"/>
      <c r="E94" s="28">
        <v>4</v>
      </c>
      <c r="F94" s="24">
        <v>23000</v>
      </c>
      <c r="G94" s="42">
        <v>200</v>
      </c>
      <c r="H94" s="43"/>
      <c r="I94" s="43"/>
      <c r="J94" s="39">
        <f>'Machinery Costs'!J3</f>
        <v>9.840625</v>
      </c>
      <c r="K94" s="44">
        <v>4.36</v>
      </c>
      <c r="L94" s="121">
        <f>0.4*E94</f>
        <v>1.6</v>
      </c>
      <c r="M94" s="126">
        <f>(G94*E94)/K94</f>
        <v>183.48623853211006</v>
      </c>
      <c r="N94" s="121">
        <f>2.66*E94</f>
        <v>10.64</v>
      </c>
    </row>
    <row r="95" spans="1:14" ht="12.75">
      <c r="A95" s="30"/>
      <c r="B95" s="41" t="s">
        <v>138</v>
      </c>
      <c r="C95" s="41"/>
      <c r="D95" s="41"/>
      <c r="E95" s="28">
        <v>4</v>
      </c>
      <c r="F95" s="24">
        <v>14000</v>
      </c>
      <c r="G95" s="42">
        <v>200</v>
      </c>
      <c r="H95" s="43"/>
      <c r="I95" s="43"/>
      <c r="J95" s="39">
        <f>'Machinery Costs'!J4</f>
        <v>4.58125</v>
      </c>
      <c r="K95" s="44">
        <v>23</v>
      </c>
      <c r="L95" s="121">
        <f>0.1*E95</f>
        <v>0.4</v>
      </c>
      <c r="M95" s="126">
        <f>(G95*E95)/K95</f>
        <v>34.78260869565217</v>
      </c>
      <c r="N95" s="121">
        <f>0.31*E95</f>
        <v>1.24</v>
      </c>
    </row>
    <row r="96" spans="1:14" ht="12.75">
      <c r="A96" s="30"/>
      <c r="B96" s="41" t="s">
        <v>68</v>
      </c>
      <c r="C96" s="41"/>
      <c r="D96" s="41"/>
      <c r="E96" s="28">
        <v>4</v>
      </c>
      <c r="F96" s="24">
        <v>8000</v>
      </c>
      <c r="G96" s="42">
        <v>200</v>
      </c>
      <c r="H96" s="43"/>
      <c r="I96" s="43"/>
      <c r="J96" s="39">
        <f>'Machinery Costs'!J5</f>
        <v>3.6484375</v>
      </c>
      <c r="K96" s="67">
        <v>4.4</v>
      </c>
      <c r="L96" s="121">
        <f>0.1*E96</f>
        <v>0.4</v>
      </c>
      <c r="M96" s="126">
        <f>(G96*E96)/K96</f>
        <v>181.8181818181818</v>
      </c>
      <c r="N96" s="121">
        <f>0.1*E96</f>
        <v>0.4</v>
      </c>
    </row>
    <row r="97" spans="1:14" ht="12.75">
      <c r="A97" s="30"/>
      <c r="B97" s="41" t="s">
        <v>99</v>
      </c>
      <c r="C97" s="41"/>
      <c r="D97" s="41"/>
      <c r="E97" s="28">
        <v>1</v>
      </c>
      <c r="F97" s="24">
        <v>11800</v>
      </c>
      <c r="G97" s="42">
        <v>2000</v>
      </c>
      <c r="H97" s="43"/>
      <c r="I97" s="110"/>
      <c r="J97" s="39">
        <f>'Machinery Costs'!J6</f>
        <v>0.7858125</v>
      </c>
      <c r="K97" s="109">
        <v>34</v>
      </c>
      <c r="L97" s="121">
        <f>0.12*E97</f>
        <v>0.12</v>
      </c>
      <c r="M97" s="126">
        <f>(G97*E97)/K97</f>
        <v>58.8235294117647</v>
      </c>
      <c r="N97" s="123">
        <f>0.15*E97</f>
        <v>0.15</v>
      </c>
    </row>
    <row r="98" spans="1:14" ht="12.75">
      <c r="A98" s="30"/>
      <c r="B98" s="41" t="s">
        <v>43</v>
      </c>
      <c r="C98" s="41"/>
      <c r="D98" s="41"/>
      <c r="E98" s="28">
        <v>13</v>
      </c>
      <c r="F98" s="24">
        <v>34000</v>
      </c>
      <c r="G98" s="42">
        <v>2000</v>
      </c>
      <c r="H98" s="43"/>
      <c r="I98" s="43"/>
      <c r="J98" s="39">
        <f>'Machinery Costs'!J7</f>
        <v>2.273</v>
      </c>
      <c r="K98" s="45" t="s">
        <v>60</v>
      </c>
      <c r="L98" s="45" t="s">
        <v>60</v>
      </c>
      <c r="M98" s="127">
        <f>SUM(M93:M95)+M97</f>
        <v>368.73040642188664</v>
      </c>
      <c r="N98" s="123">
        <f>(M98/G93)*1.2</f>
        <v>2.2123824385313196</v>
      </c>
    </row>
    <row r="99" spans="1:14" ht="12.75">
      <c r="A99" s="30"/>
      <c r="B99" s="46" t="s">
        <v>61</v>
      </c>
      <c r="C99" s="46"/>
      <c r="D99" s="46"/>
      <c r="E99" s="47">
        <v>4</v>
      </c>
      <c r="F99" s="48">
        <v>20000</v>
      </c>
      <c r="G99" s="49">
        <v>2000</v>
      </c>
      <c r="H99" s="50"/>
      <c r="I99" s="50"/>
      <c r="J99" s="133">
        <f>'Machinery Costs'!J8</f>
        <v>1.2575</v>
      </c>
      <c r="K99" s="51" t="s">
        <v>60</v>
      </c>
      <c r="L99" s="122">
        <v>0.21</v>
      </c>
      <c r="M99" s="29"/>
      <c r="N99" s="124">
        <v>0.15</v>
      </c>
    </row>
    <row r="100" spans="1:14" ht="12.75">
      <c r="A100" s="30"/>
      <c r="C100" s="30"/>
      <c r="D100" s="30"/>
      <c r="E100" s="52"/>
      <c r="F100" s="53"/>
      <c r="G100" s="53"/>
      <c r="H100" s="53"/>
      <c r="I100" s="53"/>
      <c r="J100" s="54"/>
      <c r="K100" s="55" t="s">
        <v>62</v>
      </c>
      <c r="L100" s="56">
        <f>SUM(L93:L98)*N103+(L99*N103*1.2)</f>
        <v>10.73</v>
      </c>
      <c r="N100" s="57"/>
    </row>
    <row r="101" spans="1:14" ht="12.75">
      <c r="A101" s="30"/>
      <c r="B101" s="58" t="s">
        <v>63</v>
      </c>
      <c r="C101" s="58"/>
      <c r="D101" s="58"/>
      <c r="E101" s="58"/>
      <c r="F101" s="59"/>
      <c r="G101" s="59"/>
      <c r="H101" s="59"/>
      <c r="I101" s="59"/>
      <c r="J101" s="60">
        <f>SUM(J93:J99)</f>
        <v>35.095609375</v>
      </c>
      <c r="K101" s="55" t="s">
        <v>64</v>
      </c>
      <c r="L101" s="56">
        <f>(L100*0.1)+L100</f>
        <v>11.803</v>
      </c>
      <c r="M101" s="27" t="s">
        <v>65</v>
      </c>
      <c r="N101" s="56">
        <f>SUM(N93:N99)</f>
        <v>16.91238243853132</v>
      </c>
    </row>
    <row r="102" spans="1:14" ht="12.75">
      <c r="A102" s="30"/>
      <c r="B102" s="58"/>
      <c r="C102" s="30"/>
      <c r="D102" s="30"/>
      <c r="E102" s="30"/>
      <c r="F102" s="61"/>
      <c r="G102" s="62"/>
      <c r="H102" s="62"/>
      <c r="I102" s="62"/>
      <c r="J102" s="63"/>
      <c r="K102" s="58"/>
      <c r="L102" s="64"/>
      <c r="M102" s="64"/>
      <c r="N102" s="64"/>
    </row>
    <row r="103" spans="1:14" ht="12.75">
      <c r="A103" s="30"/>
      <c r="B103" s="30"/>
      <c r="C103" s="58"/>
      <c r="D103" s="58"/>
      <c r="E103" s="58"/>
      <c r="F103" s="65"/>
      <c r="G103" s="65"/>
      <c r="H103" s="65"/>
      <c r="I103" s="65"/>
      <c r="J103" s="65"/>
      <c r="K103" s="142" t="s">
        <v>66</v>
      </c>
      <c r="L103" s="142"/>
      <c r="M103" s="142"/>
      <c r="N103" s="66">
        <v>2.5</v>
      </c>
    </row>
    <row r="104" spans="2:14" ht="12.75">
      <c r="B104" s="1"/>
      <c r="C104" s="1"/>
      <c r="L104" s="23"/>
      <c r="M104" s="23"/>
      <c r="N104" s="23"/>
    </row>
    <row r="105" spans="1:14" ht="12.75">
      <c r="A105" s="72"/>
      <c r="B105" s="10"/>
      <c r="C105" s="10"/>
      <c r="D105" s="72"/>
      <c r="E105" s="72"/>
      <c r="F105" s="72"/>
      <c r="G105" s="72"/>
      <c r="H105" s="72"/>
      <c r="I105" s="72"/>
      <c r="J105" s="72"/>
      <c r="K105" s="72"/>
      <c r="L105" s="73"/>
      <c r="M105" s="73"/>
      <c r="N105" s="73"/>
    </row>
    <row r="106" spans="1:16" ht="12.75">
      <c r="A106" s="30" t="s">
        <v>133</v>
      </c>
      <c r="B106" s="58"/>
      <c r="C106" s="58"/>
      <c r="D106" s="58"/>
      <c r="E106" s="58"/>
      <c r="F106" s="65"/>
      <c r="G106" s="65"/>
      <c r="H106" s="65"/>
      <c r="I106" s="65"/>
      <c r="J106" s="63"/>
      <c r="K106" s="58"/>
      <c r="L106" s="64"/>
      <c r="M106" s="64"/>
      <c r="N106" s="21"/>
      <c r="O106" s="1"/>
      <c r="P106" s="1"/>
    </row>
    <row r="107" spans="1:16" ht="12.75">
      <c r="A107" s="30" t="s">
        <v>134</v>
      </c>
      <c r="B107" s="58"/>
      <c r="C107" s="58"/>
      <c r="D107" s="58"/>
      <c r="E107" s="58"/>
      <c r="F107" s="65"/>
      <c r="G107" s="65"/>
      <c r="H107" s="65"/>
      <c r="I107" s="65"/>
      <c r="J107" s="63"/>
      <c r="K107" s="58"/>
      <c r="L107" s="64"/>
      <c r="M107" s="64"/>
      <c r="N107" s="21"/>
      <c r="O107" s="3"/>
      <c r="P107" s="1"/>
    </row>
    <row r="108" spans="1:16" ht="12.75">
      <c r="A108" s="134" t="s">
        <v>135</v>
      </c>
      <c r="B108" s="58"/>
      <c r="C108" s="58"/>
      <c r="D108" s="58"/>
      <c r="E108" s="58"/>
      <c r="F108" s="65"/>
      <c r="G108" s="65"/>
      <c r="H108" s="65"/>
      <c r="I108" s="65"/>
      <c r="J108" s="63"/>
      <c r="K108" s="58"/>
      <c r="L108" s="64"/>
      <c r="M108" s="64"/>
      <c r="N108" s="21"/>
      <c r="O108" s="3"/>
      <c r="P108" s="1"/>
    </row>
    <row r="109" spans="1:15" ht="12.75">
      <c r="A109" s="30" t="s">
        <v>83</v>
      </c>
      <c r="B109" s="30"/>
      <c r="C109" s="30"/>
      <c r="D109" s="30"/>
      <c r="E109" s="30"/>
      <c r="F109" s="85"/>
      <c r="G109" s="85"/>
      <c r="H109" s="85"/>
      <c r="I109" s="85"/>
      <c r="J109" s="63"/>
      <c r="K109" s="30"/>
      <c r="L109" s="86"/>
      <c r="M109" s="86"/>
      <c r="N109" s="21"/>
      <c r="O109" s="3"/>
    </row>
    <row r="110" spans="1:15" ht="12.75">
      <c r="A110" s="30" t="s">
        <v>137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7"/>
      <c r="N110" s="21"/>
      <c r="O110" s="3"/>
    </row>
    <row r="111" spans="1:15" ht="13.5" customHeight="1">
      <c r="A111" s="30" t="s">
        <v>84</v>
      </c>
      <c r="B111" s="30"/>
      <c r="C111" s="30"/>
      <c r="D111" s="30"/>
      <c r="E111" s="88"/>
      <c r="F111" s="88"/>
      <c r="G111" s="88"/>
      <c r="H111" s="88"/>
      <c r="I111" s="88"/>
      <c r="J111" s="88"/>
      <c r="K111" s="30"/>
      <c r="L111" s="30"/>
      <c r="M111" s="86"/>
      <c r="N111" s="21"/>
      <c r="O111" s="3"/>
    </row>
    <row r="112" spans="1:15" ht="12.75">
      <c r="A112" s="89" t="s">
        <v>85</v>
      </c>
      <c r="B112" s="30"/>
      <c r="C112" s="90"/>
      <c r="D112" s="30"/>
      <c r="E112" s="88"/>
      <c r="F112" s="88"/>
      <c r="G112" s="88"/>
      <c r="H112" s="88"/>
      <c r="I112" s="88"/>
      <c r="J112" s="88"/>
      <c r="K112" s="30"/>
      <c r="L112" s="30"/>
      <c r="M112" s="86"/>
      <c r="N112" s="21"/>
      <c r="O112" s="3"/>
    </row>
    <row r="113" spans="1:18" ht="12.75">
      <c r="A113" s="30" t="s">
        <v>86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6"/>
      <c r="N113" s="21"/>
      <c r="O113" s="3"/>
      <c r="Q113" s="26"/>
      <c r="R113" s="26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6"/>
      <c r="N114" s="21"/>
      <c r="O114" s="3"/>
      <c r="Q114" s="26"/>
      <c r="R114" s="26"/>
    </row>
    <row r="115" spans="1:18" ht="12.75">
      <c r="A115" s="30" t="s">
        <v>88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6"/>
      <c r="N115" s="21"/>
      <c r="O115" s="3"/>
      <c r="Q115" s="26"/>
      <c r="R115" s="26"/>
    </row>
    <row r="116" spans="1:18" ht="12.75">
      <c r="A116" s="30" t="s">
        <v>87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6"/>
      <c r="N116" s="21"/>
      <c r="O116" s="3"/>
      <c r="Q116" s="26"/>
      <c r="R116" s="26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6"/>
      <c r="N117" s="21"/>
      <c r="O117" s="3"/>
      <c r="Q117" s="26"/>
      <c r="R117" s="26"/>
    </row>
    <row r="118" spans="1:18" ht="12.75">
      <c r="A118" s="10"/>
      <c r="B118" s="8"/>
      <c r="C118" s="8"/>
      <c r="D118" s="8"/>
      <c r="E118" s="8"/>
      <c r="F118" s="77"/>
      <c r="G118" s="75"/>
      <c r="H118" s="75"/>
      <c r="I118" s="78"/>
      <c r="J118" s="72"/>
      <c r="K118" s="72"/>
      <c r="L118" s="76"/>
      <c r="M118" s="79"/>
      <c r="N118" s="21"/>
      <c r="O118" s="3"/>
      <c r="P118" s="1"/>
      <c r="Q118" s="26"/>
      <c r="R118" s="26"/>
    </row>
    <row r="119" spans="1:18" ht="12.75">
      <c r="A119" s="10"/>
      <c r="B119" s="8"/>
      <c r="C119" s="8"/>
      <c r="D119" s="8"/>
      <c r="E119" s="8"/>
      <c r="F119" s="80"/>
      <c r="G119" s="75"/>
      <c r="H119" s="75"/>
      <c r="I119" s="8"/>
      <c r="J119" s="76"/>
      <c r="K119" s="76"/>
      <c r="L119" s="76"/>
      <c r="M119" s="74"/>
      <c r="N119" s="21"/>
      <c r="O119" s="3"/>
      <c r="P119" s="1"/>
      <c r="Q119" s="26"/>
      <c r="R119" s="26"/>
    </row>
    <row r="120" spans="1:18" ht="12.75">
      <c r="A120" s="10"/>
      <c r="B120" s="72"/>
      <c r="C120" s="10"/>
      <c r="D120" s="10"/>
      <c r="E120" s="10"/>
      <c r="F120" s="80"/>
      <c r="G120" s="75"/>
      <c r="H120" s="75"/>
      <c r="I120" s="10"/>
      <c r="J120" s="21"/>
      <c r="K120" s="21"/>
      <c r="L120" s="21"/>
      <c r="M120" s="74"/>
      <c r="N120" s="21"/>
      <c r="O120" s="3"/>
      <c r="P120" s="1"/>
      <c r="Q120" s="1"/>
      <c r="R120" s="26"/>
    </row>
    <row r="121" spans="1:17" ht="12.75">
      <c r="A121" s="10"/>
      <c r="B121" s="10"/>
      <c r="C121" s="10"/>
      <c r="D121" s="10"/>
      <c r="E121" s="81"/>
      <c r="F121" s="72"/>
      <c r="G121" s="82"/>
      <c r="H121" s="82"/>
      <c r="I121" s="82"/>
      <c r="J121" s="82"/>
      <c r="K121" s="82"/>
      <c r="L121" s="83"/>
      <c r="M121" s="21"/>
      <c r="N121" s="21"/>
      <c r="O121" s="3"/>
      <c r="P121" s="1"/>
      <c r="Q121" s="3"/>
    </row>
    <row r="122" spans="1:16" ht="12.75">
      <c r="A122" s="10"/>
      <c r="B122" s="72"/>
      <c r="C122" s="10"/>
      <c r="D122" s="10"/>
      <c r="E122" s="10"/>
      <c r="F122" s="80"/>
      <c r="G122" s="75"/>
      <c r="H122" s="75"/>
      <c r="I122" s="10"/>
      <c r="J122" s="21"/>
      <c r="K122" s="21"/>
      <c r="L122" s="21"/>
      <c r="M122" s="76"/>
      <c r="N122" s="21"/>
      <c r="O122" s="3"/>
      <c r="P122" s="1"/>
    </row>
    <row r="123" spans="1:16" ht="12.75">
      <c r="A123" s="10"/>
      <c r="B123" s="10"/>
      <c r="C123" s="10"/>
      <c r="D123" s="10"/>
      <c r="E123" s="81"/>
      <c r="F123" s="72"/>
      <c r="G123" s="82"/>
      <c r="H123" s="82"/>
      <c r="I123" s="82"/>
      <c r="J123" s="82"/>
      <c r="K123" s="82"/>
      <c r="L123" s="83"/>
      <c r="M123" s="21"/>
      <c r="N123" s="21"/>
      <c r="O123" s="3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"/>
      <c r="M124" s="3"/>
      <c r="N124" s="3"/>
      <c r="O124" s="3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"/>
      <c r="M125" s="3"/>
      <c r="N125" s="3"/>
      <c r="O125" s="3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"/>
      <c r="M126" s="3"/>
      <c r="N126" s="3"/>
      <c r="O126" s="3"/>
      <c r="P126" s="1"/>
    </row>
    <row r="127" spans="9:16" ht="12.75">
      <c r="I127" s="1"/>
      <c r="M127" s="3"/>
      <c r="N127" s="3"/>
      <c r="O127" s="3"/>
      <c r="P127" s="1"/>
    </row>
    <row r="128" spans="7:16" ht="12.75">
      <c r="G128" s="1"/>
      <c r="H128" s="1"/>
      <c r="I128" s="1"/>
      <c r="O128" s="3"/>
      <c r="P128" s="1"/>
    </row>
    <row r="129" spans="7:15" ht="12.75">
      <c r="G129" s="1"/>
      <c r="H129" s="1"/>
      <c r="I129" s="1"/>
      <c r="O129" s="25"/>
    </row>
    <row r="130" spans="7:15" ht="12.75">
      <c r="G130" s="1"/>
      <c r="H130" s="1"/>
      <c r="I130" s="1"/>
      <c r="O130" s="25"/>
    </row>
    <row r="131" spans="1:15" ht="12.75">
      <c r="A131" s="1"/>
      <c r="G131" s="1"/>
      <c r="H131" s="1"/>
      <c r="O131" s="25"/>
    </row>
  </sheetData>
  <sheetProtection/>
  <mergeCells count="13">
    <mergeCell ref="O4:P4"/>
    <mergeCell ref="K103:M103"/>
    <mergeCell ref="D4:L4"/>
    <mergeCell ref="L6:N6"/>
    <mergeCell ref="D5:L5"/>
    <mergeCell ref="A91:N91"/>
    <mergeCell ref="C2:N2"/>
    <mergeCell ref="C3:N3"/>
    <mergeCell ref="I6:J6"/>
    <mergeCell ref="I7:J7"/>
    <mergeCell ref="F6:G6"/>
    <mergeCell ref="A6:C6"/>
    <mergeCell ref="L7:N7"/>
  </mergeCells>
  <hyperlinks>
    <hyperlink ref="C86" r:id="rId1" display="http://aede.osu.edu/resources/docs/pdf/UDSIO6SG-9315-IQAW-X7QLG33KLHMNAZZ6.pdf"/>
  </hyperlinks>
  <printOptions horizontalCentered="1"/>
  <pageMargins left="0.5" right="0.5" top="0.5" bottom="0.5" header="0.5" footer="0.5"/>
  <pageSetup fitToHeight="2" fitToWidth="1" horizontalDpi="300" verticalDpi="300" orientation="portrait" scale="83" r:id="rId3"/>
  <rowBreaks count="1" manualBreakCount="1">
    <brk id="55" max="13" man="1"/>
  </rowBreaks>
  <colBreaks count="1" manualBreakCount="1">
    <brk id="16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3.00390625" style="0" customWidth="1"/>
    <col min="3" max="3" width="14.7109375" style="0" customWidth="1"/>
    <col min="4" max="4" width="12.28125" style="0" customWidth="1"/>
    <col min="5" max="5" width="11.421875" style="0" customWidth="1"/>
    <col min="6" max="6" width="10.421875" style="0" customWidth="1"/>
    <col min="7" max="7" width="9.421875" style="0" customWidth="1"/>
    <col min="8" max="9" width="10.7109375" style="0" customWidth="1"/>
    <col min="10" max="10" width="10.421875" style="0" customWidth="1"/>
  </cols>
  <sheetData>
    <row r="1" spans="1:10" ht="12.75">
      <c r="A1" s="131"/>
      <c r="B1" s="131"/>
      <c r="C1" s="131" t="s">
        <v>110</v>
      </c>
      <c r="D1" s="131" t="s">
        <v>111</v>
      </c>
      <c r="E1" s="131" t="s">
        <v>112</v>
      </c>
      <c r="F1" s="131" t="s">
        <v>113</v>
      </c>
      <c r="G1" s="131" t="s">
        <v>114</v>
      </c>
      <c r="H1" s="131" t="s">
        <v>115</v>
      </c>
      <c r="I1" s="131" t="s">
        <v>118</v>
      </c>
      <c r="J1" s="131" t="s">
        <v>116</v>
      </c>
    </row>
    <row r="2" spans="1:10" ht="12.75">
      <c r="A2" s="130" t="s">
        <v>67</v>
      </c>
      <c r="B2" s="130"/>
      <c r="C2" s="111">
        <f>(alfhay!F93+(alfhay!F93*0.3)+D2)/2</f>
        <v>18140.625</v>
      </c>
      <c r="D2" s="112">
        <f>(alfhay!F93-(alfhay!F93*0.3))/16</f>
        <v>1181.25</v>
      </c>
      <c r="E2" s="112">
        <f>C2*0.06</f>
        <v>1088.4375</v>
      </c>
      <c r="F2" s="112">
        <f>C2*0.005</f>
        <v>90.703125</v>
      </c>
      <c r="G2" s="112">
        <f>C2*0.01</f>
        <v>181.40625</v>
      </c>
      <c r="H2" s="112">
        <f>SUM(D2:G2)</f>
        <v>2541.796875</v>
      </c>
      <c r="I2" s="113">
        <f>alfhay!G93</f>
        <v>200</v>
      </c>
      <c r="J2" s="112">
        <f>H2/I2</f>
        <v>12.708984375</v>
      </c>
    </row>
    <row r="3" spans="1:10" ht="12.75">
      <c r="A3" s="128" t="s">
        <v>117</v>
      </c>
      <c r="B3" s="128"/>
      <c r="C3" s="114">
        <f>(alfhay!F94+(alfhay!F94*0.3)+D3)/2</f>
        <v>15453.125</v>
      </c>
      <c r="D3" s="115">
        <f>(alfhay!F94-(alfhay!F94*0.3))/16</f>
        <v>1006.25</v>
      </c>
      <c r="E3" s="115">
        <v>769.5</v>
      </c>
      <c r="F3" s="115">
        <v>64.125</v>
      </c>
      <c r="G3" s="115">
        <v>128.25</v>
      </c>
      <c r="H3" s="115">
        <f aca="true" t="shared" si="0" ref="H3:H8">SUM(D3:G3)</f>
        <v>1968.125</v>
      </c>
      <c r="I3" s="116">
        <f>alfhay!G94</f>
        <v>200</v>
      </c>
      <c r="J3" s="115">
        <f aca="true" t="shared" si="1" ref="J3:J8">H3/I3</f>
        <v>9.840625</v>
      </c>
    </row>
    <row r="4" spans="1:10" ht="12.75">
      <c r="A4" s="128" t="s">
        <v>42</v>
      </c>
      <c r="B4" s="128"/>
      <c r="C4" s="114">
        <f>(alfhay!F95+(alfhay!F95*0.3)+D4)/2</f>
        <v>9406.25</v>
      </c>
      <c r="D4" s="115">
        <f>(alfhay!F95-(alfhay!F95*0.3))/16</f>
        <v>612.5</v>
      </c>
      <c r="E4" s="115">
        <v>243</v>
      </c>
      <c r="F4" s="115">
        <v>20.25</v>
      </c>
      <c r="G4" s="115">
        <v>40.5</v>
      </c>
      <c r="H4" s="115">
        <f t="shared" si="0"/>
        <v>916.25</v>
      </c>
      <c r="I4" s="116">
        <f>alfhay!G95</f>
        <v>200</v>
      </c>
      <c r="J4" s="115">
        <f t="shared" si="1"/>
        <v>4.58125</v>
      </c>
    </row>
    <row r="5" spans="1:10" ht="12.75">
      <c r="A5" s="128" t="s">
        <v>68</v>
      </c>
      <c r="B5" s="128"/>
      <c r="C5" s="114">
        <f>(alfhay!F96+(alfhay!F96*0.3)+D5)/2</f>
        <v>5375</v>
      </c>
      <c r="D5" s="115">
        <f>(alfhay!F96-(alfhay!F96*0.3))/16</f>
        <v>350</v>
      </c>
      <c r="E5" s="115">
        <v>303.75</v>
      </c>
      <c r="F5" s="115">
        <v>25.3125</v>
      </c>
      <c r="G5" s="115">
        <v>50.625</v>
      </c>
      <c r="H5" s="115">
        <f t="shared" si="0"/>
        <v>729.6875</v>
      </c>
      <c r="I5" s="116">
        <f>alfhay!G96</f>
        <v>200</v>
      </c>
      <c r="J5" s="115">
        <f t="shared" si="1"/>
        <v>3.6484375</v>
      </c>
    </row>
    <row r="6" spans="1:10" ht="12.75">
      <c r="A6" s="128" t="s">
        <v>99</v>
      </c>
      <c r="B6" s="128"/>
      <c r="C6" s="114">
        <f>(alfhay!F97+(alfhay!F97*0.34)+D6)/2</f>
        <v>8392.75</v>
      </c>
      <c r="D6" s="115">
        <f>(alfhay!F97-(alfhay!F97*0.34))/8</f>
        <v>973.5</v>
      </c>
      <c r="E6" s="115">
        <v>478.5</v>
      </c>
      <c r="F6" s="115">
        <v>39.875</v>
      </c>
      <c r="G6" s="115">
        <v>79.75</v>
      </c>
      <c r="H6" s="115">
        <f t="shared" si="0"/>
        <v>1571.625</v>
      </c>
      <c r="I6" s="116">
        <f>alfhay!G97</f>
        <v>2000</v>
      </c>
      <c r="J6" s="115">
        <f t="shared" si="1"/>
        <v>0.7858125</v>
      </c>
    </row>
    <row r="7" spans="1:10" ht="12.75">
      <c r="A7" s="128" t="s">
        <v>43</v>
      </c>
      <c r="B7" s="128"/>
      <c r="C7" s="114">
        <f>(alfhay!F98+(alfhay!F98*0.32)+D7)/2</f>
        <v>23885</v>
      </c>
      <c r="D7" s="115">
        <f>(alfhay!F98-(alfhay!F98*0.32))/8</f>
        <v>2890</v>
      </c>
      <c r="E7" s="115">
        <v>1324.8</v>
      </c>
      <c r="F7" s="115">
        <v>110.4</v>
      </c>
      <c r="G7" s="115">
        <v>220.8</v>
      </c>
      <c r="H7" s="115">
        <f t="shared" si="0"/>
        <v>4546</v>
      </c>
      <c r="I7" s="116">
        <f>alfhay!G98</f>
        <v>2000</v>
      </c>
      <c r="J7" s="115">
        <f t="shared" si="1"/>
        <v>2.273</v>
      </c>
    </row>
    <row r="8" spans="1:10" ht="12.75">
      <c r="A8" s="129" t="s">
        <v>61</v>
      </c>
      <c r="B8" s="129"/>
      <c r="C8" s="117">
        <f>(alfhay!F99+(alfhay!F99*0.3)+D8)/2</f>
        <v>13875</v>
      </c>
      <c r="D8" s="118">
        <f>(alfhay!F99-(alfhay!F99*0.3))/8</f>
        <v>1750</v>
      </c>
      <c r="E8" s="118">
        <v>612</v>
      </c>
      <c r="F8" s="118">
        <v>51</v>
      </c>
      <c r="G8" s="118">
        <v>102</v>
      </c>
      <c r="H8" s="118">
        <f t="shared" si="0"/>
        <v>2515</v>
      </c>
      <c r="I8" s="119">
        <f>alfhay!G99</f>
        <v>2000</v>
      </c>
      <c r="J8" s="118">
        <f t="shared" si="1"/>
        <v>1.2575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ward.8</cp:lastModifiedBy>
  <cp:lastPrinted>2008-04-28T15:37:16Z</cp:lastPrinted>
  <dcterms:created xsi:type="dcterms:W3CDTF">2002-12-27T16:13:54Z</dcterms:created>
  <dcterms:modified xsi:type="dcterms:W3CDTF">2010-11-26T18:42:03Z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